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510" windowHeight="8760" activeTab="6"/>
  </bookViews>
  <sheets>
    <sheet name="Exercício" sheetId="1" r:id="rId1"/>
    <sheet name="Nível" sheetId="2" r:id="rId2"/>
    <sheet name="Aclive" sheetId="3" r:id="rId3"/>
    <sheet name="Declive" sheetId="4" r:id="rId4"/>
    <sheet name="Nível_graf" sheetId="5" r:id="rId5"/>
    <sheet name="Aclive_graf" sheetId="6" r:id="rId6"/>
    <sheet name="Declive_graf" sheetId="7" r:id="rId7"/>
  </sheets>
  <definedNames>
    <definedName name="_xlnm.Print_Area" localSheetId="2">'Aclive'!$A$1:$K$45</definedName>
    <definedName name="_xlnm.Print_Area" localSheetId="3">'Declive'!$A$1:$K$45</definedName>
    <definedName name="_xlnm.Print_Area" localSheetId="0">'Exercício'!$A$1:$O$49</definedName>
    <definedName name="_xlnm.Print_Area" localSheetId="1">'Nível'!$A$1:$K$45</definedName>
  </definedNames>
  <calcPr fullCalcOnLoad="1"/>
</workbook>
</file>

<file path=xl/sharedStrings.xml><?xml version="1.0" encoding="utf-8"?>
<sst xmlns="http://schemas.openxmlformats.org/spreadsheetml/2006/main" count="271" uniqueCount="108">
  <si>
    <t>Dados de Entrada</t>
  </si>
  <si>
    <t>Vazão do Aspersor (m3/s)</t>
  </si>
  <si>
    <t>qA</t>
  </si>
  <si>
    <t>Coeficiente de Rugosidade</t>
  </si>
  <si>
    <t>C</t>
  </si>
  <si>
    <t>Para Aço Zincado</t>
  </si>
  <si>
    <t>L</t>
  </si>
  <si>
    <t>Comprimento da Lateral (m)</t>
  </si>
  <si>
    <t>Espaçamento entre Aspersores na LL (m)</t>
  </si>
  <si>
    <t>Se</t>
  </si>
  <si>
    <t>Pressão de Serviço (mca)</t>
  </si>
  <si>
    <t xml:space="preserve">PS </t>
  </si>
  <si>
    <t>N° de Aspersores</t>
  </si>
  <si>
    <t>1° Aspersor a um espaçamento inteiro</t>
  </si>
  <si>
    <t>Vazão da LL (m3/s)</t>
  </si>
  <si>
    <t>Fator F de Christiansen</t>
  </si>
  <si>
    <t>F</t>
  </si>
  <si>
    <t>Perda de Carga Real Tolerada (mca)</t>
  </si>
  <si>
    <t>Hf real tol</t>
  </si>
  <si>
    <t>Perda de Carga Contínua Tolerada (mca)</t>
  </si>
  <si>
    <t>Hf cont tol</t>
  </si>
  <si>
    <t>Diâmetro teórico (m)</t>
  </si>
  <si>
    <t>Dteórico</t>
  </si>
  <si>
    <t>Dcomercial</t>
  </si>
  <si>
    <t>Diâmetro comercial selecionado (m)</t>
  </si>
  <si>
    <t>Trecho</t>
  </si>
  <si>
    <t>Comprimento (L)</t>
  </si>
  <si>
    <t>Perda de Carga Real Observada (mca)</t>
  </si>
  <si>
    <t>1--2</t>
  </si>
  <si>
    <t>2--3</t>
  </si>
  <si>
    <t>3--4</t>
  </si>
  <si>
    <t>4--5</t>
  </si>
  <si>
    <t>5--6</t>
  </si>
  <si>
    <t>6--7</t>
  </si>
  <si>
    <t>7--8</t>
  </si>
  <si>
    <t>8--9</t>
  </si>
  <si>
    <t>9--10</t>
  </si>
  <si>
    <t>LP--1</t>
  </si>
  <si>
    <t>Pressão início da LL (mca)</t>
  </si>
  <si>
    <t>AA</t>
  </si>
  <si>
    <t>Altura de Subida do Aspersor (m)</t>
  </si>
  <si>
    <t>Pressão final da LL(mca)</t>
  </si>
  <si>
    <t>PF LL</t>
  </si>
  <si>
    <t>Aspersor</t>
  </si>
  <si>
    <t>Variação de Pressão na Base do Aspersor em Linha Lateral em Nível</t>
  </si>
  <si>
    <t>valor</t>
  </si>
  <si>
    <t>Sigla</t>
  </si>
  <si>
    <t>Variável</t>
  </si>
  <si>
    <t>Cálculos Intermediários</t>
  </si>
  <si>
    <t>Equação baseada na PS</t>
  </si>
  <si>
    <t>Equação baseada na PinLL</t>
  </si>
  <si>
    <t>Pin LL</t>
  </si>
  <si>
    <t>Hf real obs</t>
  </si>
  <si>
    <t>Resultados</t>
  </si>
  <si>
    <t>QLL</t>
  </si>
  <si>
    <t>N</t>
  </si>
  <si>
    <t>(m)</t>
  </si>
  <si>
    <t>Vazão</t>
  </si>
  <si>
    <t xml:space="preserve">D </t>
  </si>
  <si>
    <t>Hf</t>
  </si>
  <si>
    <t>(mca)</t>
  </si>
  <si>
    <t>(m3/s)</t>
  </si>
  <si>
    <t>P Aspersor</t>
  </si>
  <si>
    <t>Z trecho</t>
  </si>
  <si>
    <t>Desnível unitário (m/m)</t>
  </si>
  <si>
    <t>i</t>
  </si>
  <si>
    <t xml:space="preserve">Pin_trecho </t>
  </si>
  <si>
    <t>PF_trecho</t>
  </si>
  <si>
    <t>Variação de Pressão na Base do Aspersor em Linha Lateral em ACLIVE</t>
  </si>
  <si>
    <t>Aclive</t>
  </si>
  <si>
    <t>Variação de Pressão na Base do Aspersor em Linha Lateral em DECLIVE</t>
  </si>
  <si>
    <t>Checar se a HF Real Obs, a Pin LL e a PF LL entre a Tabela de Resultados e a Tabela da Análise Trecho a Trecho estão coerentes...</t>
  </si>
  <si>
    <t>Análise Trecho a Trecho</t>
  </si>
  <si>
    <t>Exercício</t>
  </si>
  <si>
    <t>A pressão de serviço do aspersor é de 3 atm, sua vazão é de 3,45 m3/h.</t>
  </si>
  <si>
    <t>A altura de subida do aspersor é de 1 m, de modo que o aspersor deve ficar 30 cm acima da cultura.</t>
  </si>
  <si>
    <t>O primeiro aspersor está instalado a um espaçamento inteiro.</t>
  </si>
  <si>
    <t>Os diâmetros disponíveis em aço zincado no comércio local são de:</t>
  </si>
  <si>
    <t>50; 70; 89; 108; 133 e 159 mm.</t>
  </si>
  <si>
    <t>Uma Linha Lateral com 180 metros de comprimento, em aço zincado, tem aspersores</t>
  </si>
  <si>
    <t>instalados no espaçamento 18 x 24 m.</t>
  </si>
  <si>
    <t>a) Selecionar o diâmetro comercial considerando 3 condições topográficas:</t>
  </si>
  <si>
    <t>Tubulação em Nível</t>
  </si>
  <si>
    <t>Tubulação em Aclive de 2%</t>
  </si>
  <si>
    <t>Tubulação em Declive de 2%</t>
  </si>
  <si>
    <t>b) Determinar a necessidade de pressão no início da Lateral considerando as três</t>
  </si>
  <si>
    <t>condições topográficas descritas anteriormente</t>
  </si>
  <si>
    <t>c) Determinar a pressão no final da Lateral para as três condições topográficas descritas anteriormente</t>
  </si>
  <si>
    <t>d) Encontrar, pelo método trecho a trecho, a pressão de entrada em cada aspersor</t>
  </si>
  <si>
    <t>e) Interpretar os resultados para as três condições topográficas quanto à:</t>
  </si>
  <si>
    <t>Perda de carga real tolerada</t>
  </si>
  <si>
    <t>Diâmetro selecionado</t>
  </si>
  <si>
    <t>f) Construir gráficos da Pressão na base de cada aspersor para cada condição topográfica</t>
  </si>
  <si>
    <t>g) A partir desses gráficos observe o local de ocorrência da Pressão de Serviço</t>
  </si>
  <si>
    <t>Lembrar que pela imposição do critério, a PS deve ser a pressão média na Lateral...</t>
  </si>
  <si>
    <t xml:space="preserve">Dica: Como são 10 aspersores, se a PS for verificada no aspersor 4 significa que ela ocorre </t>
  </si>
  <si>
    <t>a 40% do comprimento da Lateral...</t>
  </si>
  <si>
    <t>i) Utilize as planilhas, fixando o diâmetro selecionado num mesmo valor para todas as condições topográficas</t>
  </si>
  <si>
    <t>para entender que a Hf Real Observada independe da topografia</t>
  </si>
  <si>
    <t>Para outras situações, basta dividir o n° do aspersor em que ocorre a PS pelo n° total de aspersores e multiplicar por 100</t>
  </si>
  <si>
    <t>Ou: dividir o comprimento acumulado da Lateral até o local de ocorrência da OS pelo comprimento total da Lateral e multiplicar por 100</t>
  </si>
  <si>
    <t>h) Utilize as planilhas, variando o desnível, para entender o efeito da topografia sobre a Hf Real Tolerada</t>
  </si>
  <si>
    <t>Pressão inicial necessária na Linha Lateral</t>
  </si>
  <si>
    <t xml:space="preserve">Pressão no final da Linha Lateral </t>
  </si>
  <si>
    <t>j) É possível afirmar que em Laterais em Aclive ou em Nível a Pressão inicial é sempre a máxima?</t>
  </si>
  <si>
    <t>E que a pressão final é sempre a mínima?</t>
  </si>
  <si>
    <t>j) É possível afirmar que Laterais em Declive têm Pressão Máxima e Pressão Mínima em pontos variáveis, a depender da intensidade do desnível?</t>
  </si>
  <si>
    <t>Simule diferentes desníveis, para um mesmo diâmetro, para responder a essa pergunta...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</si>
</sst>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"/>
    <numFmt numFmtId="179" formatCode="0.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0.0000000000000000000000"/>
    <numFmt numFmtId="192" formatCode="0.00000000000000000000000"/>
    <numFmt numFmtId="193" formatCode="0.000000000000000000000000"/>
    <numFmt numFmtId="194" formatCode="0.0000000000000000000000000"/>
    <numFmt numFmtId="195" formatCode="0.00000000000000000000000000"/>
    <numFmt numFmtId="196" formatCode="0.000000000000000000000000000"/>
    <numFmt numFmtId="197" formatCode="0.00000000000000000000000000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176" fontId="2" fillId="22" borderId="10" xfId="0" applyNumberFormat="1" applyFont="1" applyFill="1" applyBorder="1" applyAlignment="1">
      <alignment horizontal="center"/>
    </xf>
    <xf numFmtId="177" fontId="2" fillId="24" borderId="10" xfId="0" applyNumberFormat="1" applyFont="1" applyFill="1" applyBorder="1" applyAlignment="1">
      <alignment horizontal="center"/>
    </xf>
    <xf numFmtId="176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197" fontId="2" fillId="24" borderId="0" xfId="0" applyNumberFormat="1" applyFont="1" applyFill="1" applyAlignment="1">
      <alignment/>
    </xf>
    <xf numFmtId="0" fontId="2" fillId="25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77" fontId="2" fillId="24" borderId="0" xfId="0" applyNumberFormat="1" applyFont="1" applyFill="1" applyBorder="1" applyAlignment="1">
      <alignment horizontal="center"/>
    </xf>
    <xf numFmtId="172" fontId="2" fillId="24" borderId="10" xfId="0" applyNumberFormat="1" applyFont="1" applyFill="1" applyBorder="1" applyAlignment="1">
      <alignment horizontal="center"/>
    </xf>
    <xf numFmtId="177" fontId="2" fillId="10" borderId="10" xfId="0" applyNumberFormat="1" applyFont="1" applyFill="1" applyBorder="1" applyAlignment="1">
      <alignment horizontal="center"/>
    </xf>
    <xf numFmtId="177" fontId="2" fillId="26" borderId="10" xfId="0" applyNumberFormat="1" applyFont="1" applyFill="1" applyBorder="1" applyAlignment="1">
      <alignment horizontal="center"/>
    </xf>
    <xf numFmtId="177" fontId="2" fillId="16" borderId="10" xfId="0" applyNumberFormat="1" applyFont="1" applyFill="1" applyBorder="1" applyAlignment="1">
      <alignment horizontal="center"/>
    </xf>
    <xf numFmtId="177" fontId="2" fillId="25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Linha Lateral em Nível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3"/>
          <c:w val="0.94275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Nível!$J$32:$J$41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Nível!$K$32:$K$41</c:f>
              <c:numCache>
                <c:ptCount val="10"/>
                <c:pt idx="0">
                  <c:v>31.30136670884744</c:v>
                </c:pt>
                <c:pt idx="1">
                  <c:v>30.770350462569354</c:v>
                </c:pt>
                <c:pt idx="2">
                  <c:v>30.343404081377116</c:v>
                </c:pt>
                <c:pt idx="3">
                  <c:v>30.009998972013555</c:v>
                </c:pt>
                <c:pt idx="4">
                  <c:v>29.759395665644785</c:v>
                </c:pt>
                <c:pt idx="5">
                  <c:v>29.5806057049359</c:v>
                </c:pt>
                <c:pt idx="6">
                  <c:v>29.462338104644683</c:v>
                </c:pt>
                <c:pt idx="7">
                  <c:v>29.392918962160056</c:v>
                </c:pt>
                <c:pt idx="8">
                  <c:v>29.3601578804533</c:v>
                </c:pt>
                <c:pt idx="9">
                  <c:v>29.351082795882768</c:v>
                </c:pt>
              </c:numCache>
            </c:numRef>
          </c:val>
        </c:ser>
        <c:axId val="3066110"/>
        <c:axId val="27594991"/>
      </c:barChart>
      <c:catAx>
        <c:axId val="306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do Aspersor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4991"/>
        <c:crosses val="autoZero"/>
        <c:auto val="1"/>
        <c:lblOffset val="100"/>
        <c:tickLblSkip val="1"/>
        <c:noMultiLvlLbl val="0"/>
      </c:catAx>
      <c:valAx>
        <c:axId val="275949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na base do Aspersor (mca)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6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Linha Lateral em Aclive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925"/>
          <c:w val="0.94275"/>
          <c:h val="0.83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Aclive!$J$32:$J$41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Aclive!$K$32:$K$41</c:f>
              <c:numCache>
                <c:ptCount val="10"/>
                <c:pt idx="0">
                  <c:v>31.94717207792816</c:v>
                </c:pt>
                <c:pt idx="1">
                  <c:v>31.380223021057795</c:v>
                </c:pt>
                <c:pt idx="2">
                  <c:v>30.853832347436715</c:v>
                </c:pt>
                <c:pt idx="3">
                  <c:v>30.36389682583609</c:v>
                </c:pt>
                <c:pt idx="4">
                  <c:v>29.906231042039238</c:v>
                </c:pt>
                <c:pt idx="5">
                  <c:v>29.476552545371895</c:v>
                </c:pt>
                <c:pt idx="6">
                  <c:v>29.070460983183096</c:v>
                </c:pt>
                <c:pt idx="7">
                  <c:v>28.683406771251473</c:v>
                </c:pt>
                <c:pt idx="8">
                  <c:v>28.31063903578427</c:v>
                </c:pt>
                <c:pt idx="9">
                  <c:v>27.94710226980761</c:v>
                </c:pt>
              </c:numCache>
            </c:numRef>
          </c:val>
        </c:ser>
        <c:axId val="47028328"/>
        <c:axId val="20601769"/>
      </c:barChart>
      <c:catAx>
        <c:axId val="47028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do Aspersor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769"/>
        <c:crosses val="autoZero"/>
        <c:auto val="1"/>
        <c:lblOffset val="100"/>
        <c:tickLblSkip val="1"/>
        <c:noMultiLvlLbl val="0"/>
      </c:catAx>
      <c:valAx>
        <c:axId val="206017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na base do Aspersor (mca)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8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Linha Lateral em Declive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625"/>
          <c:w val="0.94275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Declive!$J$32:$J$41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Declive!$K$32:$K$41</c:f>
              <c:numCache>
                <c:ptCount val="10"/>
                <c:pt idx="0">
                  <c:v>32.750844724623576</c:v>
                </c:pt>
                <c:pt idx="1">
                  <c:v>31.400791271377585</c:v>
                </c:pt>
                <c:pt idx="2">
                  <c:v>30.38587828401426</c:v>
                </c:pt>
                <c:pt idx="3">
                  <c:v>29.67220010073239</c:v>
                </c:pt>
                <c:pt idx="4">
                  <c:v>29.225171968439895</c:v>
                </c:pt>
                <c:pt idx="5">
                  <c:v>29.00940730613645</c:v>
                </c:pt>
                <c:pt idx="6">
                  <c:v>28.98854528976191</c:v>
                </c:pt>
                <c:pt idx="7">
                  <c:v>29.124991970707633</c:v>
                </c:pt>
                <c:pt idx="8">
                  <c:v>29.37949011215362</c:v>
                </c:pt>
                <c:pt idx="9">
                  <c:v>29.71026524414419</c:v>
                </c:pt>
              </c:numCache>
            </c:numRef>
          </c:val>
        </c:ser>
        <c:axId val="51198194"/>
        <c:axId val="58130563"/>
      </c:barChart>
      <c:catAx>
        <c:axId val="51198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do Aspersor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0563"/>
        <c:crosses val="autoZero"/>
        <c:auto val="1"/>
        <c:lblOffset val="100"/>
        <c:tickLblSkip val="1"/>
        <c:noMultiLvlLbl val="0"/>
      </c:catAx>
      <c:valAx>
        <c:axId val="581305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na base do Aspersor (mca)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8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5" footer="0.49212598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view="pageBreakPreview" zoomScaleSheetLayoutView="100" workbookViewId="0" topLeftCell="A1">
      <selection activeCell="F20" sqref="F20"/>
    </sheetView>
  </sheetViews>
  <sheetFormatPr defaultColWidth="9.140625" defaultRowHeight="12.75"/>
  <cols>
    <col min="1" max="16384" width="9.140625" style="18" customWidth="1"/>
  </cols>
  <sheetData>
    <row r="1" ht="20.25">
      <c r="A1" s="19" t="s">
        <v>73</v>
      </c>
    </row>
    <row r="2" ht="12.75">
      <c r="A2" s="18" t="s">
        <v>79</v>
      </c>
    </row>
    <row r="3" ht="12.75">
      <c r="A3" s="18" t="s">
        <v>80</v>
      </c>
    </row>
    <row r="4" ht="12.75">
      <c r="A4" s="18" t="s">
        <v>74</v>
      </c>
    </row>
    <row r="5" ht="12.75">
      <c r="A5" s="18" t="s">
        <v>75</v>
      </c>
    </row>
    <row r="6" ht="12.75">
      <c r="A6" s="18" t="s">
        <v>76</v>
      </c>
    </row>
    <row r="7" ht="12.75">
      <c r="A7" s="18" t="s">
        <v>77</v>
      </c>
    </row>
    <row r="8" ht="12.75">
      <c r="A8" s="18" t="s">
        <v>78</v>
      </c>
    </row>
    <row r="11" ht="12.75">
      <c r="A11" s="18" t="s">
        <v>81</v>
      </c>
    </row>
    <row r="12" ht="12.75">
      <c r="A12" s="18" t="s">
        <v>82</v>
      </c>
    </row>
    <row r="13" ht="12.75">
      <c r="A13" s="18" t="s">
        <v>83</v>
      </c>
    </row>
    <row r="14" ht="12.75">
      <c r="A14" s="18" t="s">
        <v>84</v>
      </c>
    </row>
    <row r="16" ht="12.75">
      <c r="A16" s="18" t="s">
        <v>85</v>
      </c>
    </row>
    <row r="17" ht="12.75">
      <c r="A17" s="18" t="s">
        <v>86</v>
      </c>
    </row>
    <row r="19" ht="12.75">
      <c r="A19" s="18" t="s">
        <v>87</v>
      </c>
    </row>
    <row r="21" ht="12.75">
      <c r="A21" s="18" t="s">
        <v>88</v>
      </c>
    </row>
    <row r="23" ht="12.75">
      <c r="A23" s="18" t="s">
        <v>89</v>
      </c>
    </row>
    <row r="24" ht="12.75">
      <c r="A24" s="18" t="s">
        <v>90</v>
      </c>
    </row>
    <row r="25" ht="12.75">
      <c r="A25" s="18" t="s">
        <v>91</v>
      </c>
    </row>
    <row r="26" ht="12.75">
      <c r="A26" s="18" t="s">
        <v>102</v>
      </c>
    </row>
    <row r="27" ht="12.75">
      <c r="A27" s="18" t="s">
        <v>103</v>
      </c>
    </row>
    <row r="29" ht="12.75">
      <c r="A29" s="18" t="s">
        <v>92</v>
      </c>
    </row>
    <row r="31" ht="12.75">
      <c r="A31" s="18" t="s">
        <v>93</v>
      </c>
    </row>
    <row r="32" ht="12.75">
      <c r="A32" s="18" t="s">
        <v>94</v>
      </c>
    </row>
    <row r="33" ht="12.75">
      <c r="A33" s="18" t="s">
        <v>95</v>
      </c>
    </row>
    <row r="34" ht="12.75">
      <c r="A34" s="18" t="s">
        <v>96</v>
      </c>
    </row>
    <row r="36" ht="12.75">
      <c r="A36" s="18" t="s">
        <v>99</v>
      </c>
    </row>
    <row r="37" ht="12.75">
      <c r="A37" s="18" t="s">
        <v>100</v>
      </c>
    </row>
    <row r="39" ht="12.75">
      <c r="A39" s="18" t="s">
        <v>101</v>
      </c>
    </row>
    <row r="41" ht="12.75">
      <c r="A41" s="18" t="s">
        <v>97</v>
      </c>
    </row>
    <row r="42" ht="12.75">
      <c r="A42" s="18" t="s">
        <v>98</v>
      </c>
    </row>
    <row r="44" ht="12.75">
      <c r="A44" s="18" t="s">
        <v>104</v>
      </c>
    </row>
    <row r="45" ht="12.75">
      <c r="A45" s="18" t="s">
        <v>105</v>
      </c>
    </row>
    <row r="47" ht="12.75">
      <c r="A47" s="18" t="s">
        <v>106</v>
      </c>
    </row>
    <row r="48" ht="12.75">
      <c r="A48" s="18" t="s">
        <v>107</v>
      </c>
    </row>
  </sheetData>
  <printOptions/>
  <pageMargins left="0.27" right="0.3" top="0.35" bottom="0.36" header="0.23" footer="0.21"/>
  <pageSetup horizontalDpi="600" verticalDpi="600" orientation="landscape" paperSize="9" scale="83" r:id="rId1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3">
      <selection activeCell="B42" sqref="B42"/>
    </sheetView>
  </sheetViews>
  <sheetFormatPr defaultColWidth="9.140625" defaultRowHeight="12.75"/>
  <cols>
    <col min="1" max="1" width="38.57421875" style="6" customWidth="1"/>
    <col min="2" max="2" width="17.00390625" style="6" customWidth="1"/>
    <col min="3" max="3" width="13.57421875" style="6" customWidth="1"/>
    <col min="4" max="4" width="7.57421875" style="6" customWidth="1"/>
    <col min="5" max="5" width="5.57421875" style="6" customWidth="1"/>
    <col min="6" max="6" width="8.8515625" style="6" customWidth="1"/>
    <col min="7" max="7" width="9.57421875" style="6" customWidth="1"/>
    <col min="8" max="8" width="12.00390625" style="6" customWidth="1"/>
    <col min="9" max="9" width="10.28125" style="6" customWidth="1"/>
    <col min="10" max="10" width="10.00390625" style="6" customWidth="1"/>
    <col min="11" max="11" width="12.28125" style="6" customWidth="1"/>
    <col min="12" max="16384" width="9.140625" style="6" customWidth="1"/>
  </cols>
  <sheetData>
    <row r="1" ht="23.25">
      <c r="A1" s="7" t="s">
        <v>44</v>
      </c>
    </row>
    <row r="3" spans="1:3" ht="12.75">
      <c r="A3" s="20" t="s">
        <v>0</v>
      </c>
      <c r="B3" s="20"/>
      <c r="C3" s="20"/>
    </row>
    <row r="4" spans="1:3" ht="12.75">
      <c r="A4" s="10" t="s">
        <v>47</v>
      </c>
      <c r="B4" s="10" t="s">
        <v>45</v>
      </c>
      <c r="C4" s="10" t="s">
        <v>46</v>
      </c>
    </row>
    <row r="5" spans="1:3" ht="12.75">
      <c r="A5" s="8" t="s">
        <v>1</v>
      </c>
      <c r="B5" s="13">
        <f>3.45/3600</f>
        <v>0.0009583333333333334</v>
      </c>
      <c r="C5" s="8" t="s">
        <v>2</v>
      </c>
    </row>
    <row r="6" spans="1:4" ht="12.75">
      <c r="A6" s="8" t="s">
        <v>3</v>
      </c>
      <c r="B6" s="8">
        <v>120</v>
      </c>
      <c r="C6" s="8" t="s">
        <v>4</v>
      </c>
      <c r="D6" s="6" t="s">
        <v>5</v>
      </c>
    </row>
    <row r="7" spans="1:3" ht="12.75">
      <c r="A7" s="8" t="s">
        <v>7</v>
      </c>
      <c r="B7" s="8">
        <v>180</v>
      </c>
      <c r="C7" s="8" t="s">
        <v>6</v>
      </c>
    </row>
    <row r="8" spans="1:3" ht="12.75">
      <c r="A8" s="8" t="s">
        <v>8</v>
      </c>
      <c r="B8" s="8">
        <v>18</v>
      </c>
      <c r="C8" s="8" t="s">
        <v>9</v>
      </c>
    </row>
    <row r="9" spans="1:3" ht="12.75">
      <c r="A9" s="8" t="s">
        <v>10</v>
      </c>
      <c r="B9" s="8">
        <f>3*10</f>
        <v>30</v>
      </c>
      <c r="C9" s="8" t="s">
        <v>11</v>
      </c>
    </row>
    <row r="10" spans="1:3" ht="12.75">
      <c r="A10" s="8" t="s">
        <v>13</v>
      </c>
      <c r="B10" s="8"/>
      <c r="C10" s="8"/>
    </row>
    <row r="11" spans="1:3" ht="12.75">
      <c r="A11" s="8" t="s">
        <v>40</v>
      </c>
      <c r="B11" s="8">
        <v>1</v>
      </c>
      <c r="C11" s="8" t="s">
        <v>39</v>
      </c>
    </row>
    <row r="12" spans="1:3" ht="12.75">
      <c r="A12" s="8" t="s">
        <v>64</v>
      </c>
      <c r="B12" s="8">
        <f>0/100</f>
        <v>0</v>
      </c>
      <c r="C12" s="8" t="s">
        <v>65</v>
      </c>
    </row>
    <row r="14" spans="1:3" ht="12.75">
      <c r="A14" s="21" t="s">
        <v>48</v>
      </c>
      <c r="B14" s="22"/>
      <c r="C14" s="23"/>
    </row>
    <row r="15" spans="1:3" ht="12.75">
      <c r="A15" s="8" t="s">
        <v>12</v>
      </c>
      <c r="B15" s="8">
        <f>B7/B8</f>
        <v>10</v>
      </c>
      <c r="C15" s="8" t="s">
        <v>55</v>
      </c>
    </row>
    <row r="16" spans="1:3" ht="12.75">
      <c r="A16" s="8" t="s">
        <v>14</v>
      </c>
      <c r="B16" s="13">
        <f>B5*B15</f>
        <v>0.009583333333333334</v>
      </c>
      <c r="C16" s="8" t="s">
        <v>54</v>
      </c>
    </row>
    <row r="17" spans="1:3" ht="12.75">
      <c r="A17" s="8" t="s">
        <v>15</v>
      </c>
      <c r="B17" s="5">
        <f>1/(1+1.852)+1/2/B15+1/6/B15/B15*(1.852-1)^0.5</f>
        <v>0.4021695334794426</v>
      </c>
      <c r="C17" s="8" t="s">
        <v>16</v>
      </c>
    </row>
    <row r="18" spans="1:3" ht="12.75">
      <c r="A18" s="8" t="s">
        <v>17</v>
      </c>
      <c r="B18" s="16">
        <f>0.2*B9</f>
        <v>6</v>
      </c>
      <c r="C18" s="8" t="s">
        <v>18</v>
      </c>
    </row>
    <row r="19" spans="1:3" ht="12.75">
      <c r="A19" s="8" t="s">
        <v>19</v>
      </c>
      <c r="B19" s="4">
        <f>B18/B17</f>
        <v>14.919081383639165</v>
      </c>
      <c r="C19" s="8" t="s">
        <v>20</v>
      </c>
    </row>
    <row r="20" spans="1:3" ht="12.75">
      <c r="A20" s="8" t="s">
        <v>21</v>
      </c>
      <c r="B20" s="4">
        <f>((10.641*(B16/B6)^1.852*B7)/B19)^(1/4.87)</f>
        <v>0.07493228556103758</v>
      </c>
      <c r="C20" s="8" t="s">
        <v>22</v>
      </c>
    </row>
    <row r="21" spans="1:3" ht="12.75">
      <c r="A21" s="11"/>
      <c r="B21" s="12"/>
      <c r="C21" s="11"/>
    </row>
    <row r="22" spans="1:3" ht="12.75">
      <c r="A22" s="21" t="s">
        <v>53</v>
      </c>
      <c r="B22" s="22"/>
      <c r="C22" s="23"/>
    </row>
    <row r="23" spans="1:3" ht="12.75">
      <c r="A23" s="8" t="s">
        <v>24</v>
      </c>
      <c r="B23" s="4">
        <f>0.089</f>
        <v>0.089</v>
      </c>
      <c r="C23" s="8" t="s">
        <v>23</v>
      </c>
    </row>
    <row r="24" spans="1:3" ht="12.75">
      <c r="A24" s="8" t="s">
        <v>27</v>
      </c>
      <c r="B24" s="4">
        <f>10.641*(B16/120)^1.852*B7/(B23^4.87)*B17</f>
        <v>2.595731983011251</v>
      </c>
      <c r="C24" s="8" t="s">
        <v>52</v>
      </c>
    </row>
    <row r="25" spans="1:3" ht="12.75">
      <c r="A25" s="8" t="s">
        <v>38</v>
      </c>
      <c r="B25" s="14">
        <f>B9+3/4*B24+B11</f>
        <v>32.94679898725844</v>
      </c>
      <c r="C25" s="8" t="s">
        <v>51</v>
      </c>
    </row>
    <row r="26" spans="1:4" ht="12.75">
      <c r="A26" s="8" t="s">
        <v>41</v>
      </c>
      <c r="B26" s="4">
        <f>B25-B24</f>
        <v>30.351067004247188</v>
      </c>
      <c r="C26" s="8" t="s">
        <v>42</v>
      </c>
      <c r="D26" s="6" t="s">
        <v>50</v>
      </c>
    </row>
    <row r="27" spans="1:4" ht="12.75">
      <c r="A27" s="8" t="s">
        <v>41</v>
      </c>
      <c r="B27" s="15">
        <f>B9+B11-1/4*B24</f>
        <v>30.351067004247188</v>
      </c>
      <c r="C27" s="8" t="s">
        <v>42</v>
      </c>
      <c r="D27" s="6" t="s">
        <v>49</v>
      </c>
    </row>
    <row r="28" spans="1:3" ht="12.75">
      <c r="A28" s="11"/>
      <c r="B28" s="11"/>
      <c r="C28" s="11"/>
    </row>
    <row r="29" spans="1:11" ht="12.75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" customFormat="1" ht="12.75">
      <c r="A30" s="1" t="s">
        <v>25</v>
      </c>
      <c r="B30" s="1" t="s">
        <v>26</v>
      </c>
      <c r="C30" s="1" t="s">
        <v>57</v>
      </c>
      <c r="D30" s="1" t="s">
        <v>58</v>
      </c>
      <c r="E30" s="24" t="s">
        <v>4</v>
      </c>
      <c r="F30" s="1" t="s">
        <v>59</v>
      </c>
      <c r="G30" s="1" t="s">
        <v>63</v>
      </c>
      <c r="H30" s="1" t="s">
        <v>66</v>
      </c>
      <c r="I30" s="1" t="s">
        <v>67</v>
      </c>
      <c r="J30" s="24" t="s">
        <v>43</v>
      </c>
      <c r="K30" s="1" t="s">
        <v>62</v>
      </c>
    </row>
    <row r="31" spans="1:11" s="2" customFormat="1" ht="12.75">
      <c r="A31" s="1"/>
      <c r="B31" s="1" t="s">
        <v>56</v>
      </c>
      <c r="C31" s="1" t="s">
        <v>61</v>
      </c>
      <c r="D31" s="1" t="s">
        <v>56</v>
      </c>
      <c r="E31" s="25"/>
      <c r="F31" s="1" t="s">
        <v>60</v>
      </c>
      <c r="G31" s="1" t="s">
        <v>56</v>
      </c>
      <c r="H31" s="1" t="s">
        <v>60</v>
      </c>
      <c r="I31" s="1" t="s">
        <v>60</v>
      </c>
      <c r="J31" s="25"/>
      <c r="K31" s="1" t="s">
        <v>60</v>
      </c>
    </row>
    <row r="32" spans="1:11" s="2" customFormat="1" ht="12.75">
      <c r="A32" s="8" t="s">
        <v>37</v>
      </c>
      <c r="B32" s="8">
        <f>$B$8</f>
        <v>18</v>
      </c>
      <c r="C32" s="13">
        <f>B16</f>
        <v>0.009583333333333334</v>
      </c>
      <c r="D32" s="4">
        <f>$B$23</f>
        <v>0.089</v>
      </c>
      <c r="E32" s="8">
        <f>$B$6</f>
        <v>120</v>
      </c>
      <c r="F32" s="5">
        <f>10.641*(C32/$B$6)^1.852*B32/(D32^4.87)</f>
        <v>0.6454322784109987</v>
      </c>
      <c r="G32" s="4">
        <f>$B$12*B32</f>
        <v>0</v>
      </c>
      <c r="H32" s="14">
        <f>B25</f>
        <v>32.94679898725844</v>
      </c>
      <c r="I32" s="4">
        <f aca="true" t="shared" si="0" ref="I32:I41">H32-F32</f>
        <v>32.30136670884744</v>
      </c>
      <c r="J32" s="8">
        <v>1</v>
      </c>
      <c r="K32" s="4">
        <f aca="true" t="shared" si="1" ref="K32:K41">I32-$B$11</f>
        <v>31.30136670884744</v>
      </c>
    </row>
    <row r="33" spans="1:11" s="2" customFormat="1" ht="12.75">
      <c r="A33" s="8" t="s">
        <v>28</v>
      </c>
      <c r="B33" s="8">
        <f>$B$8</f>
        <v>18</v>
      </c>
      <c r="C33" s="13">
        <f>C32-$B$5</f>
        <v>0.008625</v>
      </c>
      <c r="D33" s="4">
        <f aca="true" t="shared" si="2" ref="D33:D41">$B$23</f>
        <v>0.089</v>
      </c>
      <c r="E33" s="8">
        <f aca="true" t="shared" si="3" ref="E33:E41">$B$6</f>
        <v>120</v>
      </c>
      <c r="F33" s="5">
        <f aca="true" t="shared" si="4" ref="F33:F41">10.641*(C33/$B$6)^1.852*B33/(D33^4.87)</f>
        <v>0.5310162462780867</v>
      </c>
      <c r="G33" s="4">
        <f aca="true" t="shared" si="5" ref="G33:G41">$B$12*B33</f>
        <v>0</v>
      </c>
      <c r="H33" s="5">
        <f>H32-F32</f>
        <v>32.30136670884744</v>
      </c>
      <c r="I33" s="4">
        <f t="shared" si="0"/>
        <v>31.770350462569354</v>
      </c>
      <c r="J33" s="8">
        <v>2</v>
      </c>
      <c r="K33" s="4">
        <f t="shared" si="1"/>
        <v>30.770350462569354</v>
      </c>
    </row>
    <row r="34" spans="1:11" s="2" customFormat="1" ht="12.75">
      <c r="A34" s="8" t="s">
        <v>29</v>
      </c>
      <c r="B34" s="8">
        <f aca="true" t="shared" si="6" ref="B34:B41">$B$8</f>
        <v>18</v>
      </c>
      <c r="C34" s="13">
        <f>C33-$B$5</f>
        <v>0.007666666666666667</v>
      </c>
      <c r="D34" s="4">
        <f t="shared" si="2"/>
        <v>0.089</v>
      </c>
      <c r="E34" s="8">
        <f t="shared" si="3"/>
        <v>120</v>
      </c>
      <c r="F34" s="5">
        <f t="shared" si="4"/>
        <v>0.42694638119223693</v>
      </c>
      <c r="G34" s="4">
        <f t="shared" si="5"/>
        <v>0</v>
      </c>
      <c r="H34" s="5">
        <f aca="true" t="shared" si="7" ref="H34:H41">H33-F33</f>
        <v>31.770350462569354</v>
      </c>
      <c r="I34" s="4">
        <f t="shared" si="0"/>
        <v>31.343404081377116</v>
      </c>
      <c r="J34" s="8">
        <v>3</v>
      </c>
      <c r="K34" s="4">
        <f t="shared" si="1"/>
        <v>30.343404081377116</v>
      </c>
    </row>
    <row r="35" spans="1:11" s="2" customFormat="1" ht="12.75">
      <c r="A35" s="8" t="s">
        <v>30</v>
      </c>
      <c r="B35" s="8">
        <f t="shared" si="6"/>
        <v>18</v>
      </c>
      <c r="C35" s="13">
        <f aca="true" t="shared" si="8" ref="C35:C41">C34-$B$5</f>
        <v>0.0067083333333333335</v>
      </c>
      <c r="D35" s="4">
        <f t="shared" si="2"/>
        <v>0.089</v>
      </c>
      <c r="E35" s="8">
        <f t="shared" si="3"/>
        <v>120</v>
      </c>
      <c r="F35" s="5">
        <f t="shared" si="4"/>
        <v>0.3334051093635612</v>
      </c>
      <c r="G35" s="4">
        <f t="shared" si="5"/>
        <v>0</v>
      </c>
      <c r="H35" s="5">
        <f t="shared" si="7"/>
        <v>31.343404081377116</v>
      </c>
      <c r="I35" s="4">
        <f t="shared" si="0"/>
        <v>31.009998972013555</v>
      </c>
      <c r="J35" s="8">
        <v>4</v>
      </c>
      <c r="K35" s="17">
        <f t="shared" si="1"/>
        <v>30.009998972013555</v>
      </c>
    </row>
    <row r="36" spans="1:11" s="2" customFormat="1" ht="12.75">
      <c r="A36" s="8" t="s">
        <v>31</v>
      </c>
      <c r="B36" s="8">
        <f t="shared" si="6"/>
        <v>18</v>
      </c>
      <c r="C36" s="13">
        <f t="shared" si="8"/>
        <v>0.00575</v>
      </c>
      <c r="D36" s="4">
        <f t="shared" si="2"/>
        <v>0.089</v>
      </c>
      <c r="E36" s="8">
        <f t="shared" si="3"/>
        <v>120</v>
      </c>
      <c r="F36" s="5">
        <f t="shared" si="4"/>
        <v>0.25060330636876893</v>
      </c>
      <c r="G36" s="4">
        <f t="shared" si="5"/>
        <v>0</v>
      </c>
      <c r="H36" s="5">
        <f t="shared" si="7"/>
        <v>31.009998972013555</v>
      </c>
      <c r="I36" s="4">
        <f t="shared" si="0"/>
        <v>30.759395665644785</v>
      </c>
      <c r="J36" s="8">
        <v>5</v>
      </c>
      <c r="K36" s="4">
        <f t="shared" si="1"/>
        <v>29.759395665644785</v>
      </c>
    </row>
    <row r="37" spans="1:11" s="2" customFormat="1" ht="12.75">
      <c r="A37" s="8" t="s">
        <v>32</v>
      </c>
      <c r="B37" s="8">
        <f t="shared" si="6"/>
        <v>18</v>
      </c>
      <c r="C37" s="13">
        <f t="shared" si="8"/>
        <v>0.004791666666666666</v>
      </c>
      <c r="D37" s="4">
        <f t="shared" si="2"/>
        <v>0.089</v>
      </c>
      <c r="E37" s="8">
        <f t="shared" si="3"/>
        <v>120</v>
      </c>
      <c r="F37" s="5">
        <f t="shared" si="4"/>
        <v>0.1787899607088863</v>
      </c>
      <c r="G37" s="4">
        <f t="shared" si="5"/>
        <v>0</v>
      </c>
      <c r="H37" s="5">
        <f t="shared" si="7"/>
        <v>30.759395665644785</v>
      </c>
      <c r="I37" s="4">
        <f t="shared" si="0"/>
        <v>30.5806057049359</v>
      </c>
      <c r="J37" s="8">
        <v>6</v>
      </c>
      <c r="K37" s="4">
        <f t="shared" si="1"/>
        <v>29.5806057049359</v>
      </c>
    </row>
    <row r="38" spans="1:11" s="2" customFormat="1" ht="12.75">
      <c r="A38" s="8" t="s">
        <v>33</v>
      </c>
      <c r="B38" s="8">
        <f t="shared" si="6"/>
        <v>18</v>
      </c>
      <c r="C38" s="13">
        <f t="shared" si="8"/>
        <v>0.0038333333333333327</v>
      </c>
      <c r="D38" s="4">
        <f t="shared" si="2"/>
        <v>0.089</v>
      </c>
      <c r="E38" s="8">
        <f t="shared" si="3"/>
        <v>120</v>
      </c>
      <c r="F38" s="5">
        <f t="shared" si="4"/>
        <v>0.11826760029121705</v>
      </c>
      <c r="G38" s="4">
        <f t="shared" si="5"/>
        <v>0</v>
      </c>
      <c r="H38" s="5">
        <f t="shared" si="7"/>
        <v>30.5806057049359</v>
      </c>
      <c r="I38" s="4">
        <f t="shared" si="0"/>
        <v>30.462338104644683</v>
      </c>
      <c r="J38" s="8">
        <v>7</v>
      </c>
      <c r="K38" s="4">
        <f t="shared" si="1"/>
        <v>29.462338104644683</v>
      </c>
    </row>
    <row r="39" spans="1:11" s="2" customFormat="1" ht="12.75">
      <c r="A39" s="8" t="s">
        <v>34</v>
      </c>
      <c r="B39" s="8">
        <f t="shared" si="6"/>
        <v>18</v>
      </c>
      <c r="C39" s="13">
        <f t="shared" si="8"/>
        <v>0.002874999999999999</v>
      </c>
      <c r="D39" s="4">
        <f t="shared" si="2"/>
        <v>0.089</v>
      </c>
      <c r="E39" s="8">
        <f t="shared" si="3"/>
        <v>120</v>
      </c>
      <c r="F39" s="5">
        <f t="shared" si="4"/>
        <v>0.06941914248462512</v>
      </c>
      <c r="G39" s="4">
        <f t="shared" si="5"/>
        <v>0</v>
      </c>
      <c r="H39" s="5">
        <f t="shared" si="7"/>
        <v>30.462338104644683</v>
      </c>
      <c r="I39" s="4">
        <f t="shared" si="0"/>
        <v>30.392918962160056</v>
      </c>
      <c r="J39" s="8">
        <v>8</v>
      </c>
      <c r="K39" s="4">
        <f t="shared" si="1"/>
        <v>29.392918962160056</v>
      </c>
    </row>
    <row r="40" spans="1:11" s="2" customFormat="1" ht="12.75">
      <c r="A40" s="8" t="s">
        <v>35</v>
      </c>
      <c r="B40" s="8">
        <f t="shared" si="6"/>
        <v>18</v>
      </c>
      <c r="C40" s="13">
        <f t="shared" si="8"/>
        <v>0.0019166666666666657</v>
      </c>
      <c r="D40" s="4">
        <f t="shared" si="2"/>
        <v>0.089</v>
      </c>
      <c r="E40" s="8">
        <f t="shared" si="3"/>
        <v>120</v>
      </c>
      <c r="F40" s="5">
        <f t="shared" si="4"/>
        <v>0.032761081706756866</v>
      </c>
      <c r="G40" s="4">
        <f t="shared" si="5"/>
        <v>0</v>
      </c>
      <c r="H40" s="5">
        <f t="shared" si="7"/>
        <v>30.392918962160056</v>
      </c>
      <c r="I40" s="4">
        <f t="shared" si="0"/>
        <v>30.3601578804533</v>
      </c>
      <c r="J40" s="8">
        <v>9</v>
      </c>
      <c r="K40" s="4">
        <f t="shared" si="1"/>
        <v>29.3601578804533</v>
      </c>
    </row>
    <row r="41" spans="1:11" s="2" customFormat="1" ht="12.75">
      <c r="A41" s="8" t="s">
        <v>36</v>
      </c>
      <c r="B41" s="8">
        <f t="shared" si="6"/>
        <v>18</v>
      </c>
      <c r="C41" s="13">
        <f t="shared" si="8"/>
        <v>0.0009583333333333323</v>
      </c>
      <c r="D41" s="4">
        <f t="shared" si="2"/>
        <v>0.089</v>
      </c>
      <c r="E41" s="8">
        <f t="shared" si="3"/>
        <v>120</v>
      </c>
      <c r="F41" s="5">
        <f t="shared" si="4"/>
        <v>0.009075084570533095</v>
      </c>
      <c r="G41" s="4">
        <f t="shared" si="5"/>
        <v>0</v>
      </c>
      <c r="H41" s="5">
        <f t="shared" si="7"/>
        <v>30.3601578804533</v>
      </c>
      <c r="I41" s="15">
        <f t="shared" si="0"/>
        <v>30.351082795882768</v>
      </c>
      <c r="J41" s="8">
        <v>10</v>
      </c>
      <c r="K41" s="4">
        <f t="shared" si="1"/>
        <v>29.351082795882768</v>
      </c>
    </row>
    <row r="42" spans="2:8" s="2" customFormat="1" ht="12.75">
      <c r="B42" s="8">
        <f>SUM(B32:B41)</f>
        <v>180</v>
      </c>
      <c r="C42" s="9"/>
      <c r="F42" s="3">
        <f>SUM(F32:F41)</f>
        <v>2.5957161913756712</v>
      </c>
      <c r="G42" s="3">
        <f>SUM(G32:G41)</f>
        <v>0</v>
      </c>
      <c r="H42" s="6"/>
    </row>
    <row r="43" ht="12.75">
      <c r="D43" s="9"/>
    </row>
    <row r="44" ht="12.75">
      <c r="A44" s="6" t="s">
        <v>71</v>
      </c>
    </row>
  </sheetData>
  <sheetProtection/>
  <mergeCells count="6">
    <mergeCell ref="A3:C3"/>
    <mergeCell ref="A14:C14"/>
    <mergeCell ref="A22:C22"/>
    <mergeCell ref="J30:J31"/>
    <mergeCell ref="E30:E31"/>
    <mergeCell ref="A29:K29"/>
  </mergeCells>
  <printOptions/>
  <pageMargins left="0.2362204724409449" right="0.31496062992125984" top="0.2362204724409449" bottom="0.2755905511811024" header="0.1968503937007874" footer="0.1968503937007874"/>
  <pageSetup horizontalDpi="600" verticalDpi="600" orientation="landscape" paperSize="9" scale="96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80" zoomScaleSheetLayoutView="100" zoomScalePageLayoutView="0" workbookViewId="0" topLeftCell="B16">
      <selection activeCell="B42" sqref="B42"/>
    </sheetView>
  </sheetViews>
  <sheetFormatPr defaultColWidth="9.140625" defaultRowHeight="12.75"/>
  <cols>
    <col min="1" max="1" width="38.57421875" style="6" customWidth="1"/>
    <col min="2" max="2" width="17.00390625" style="6" customWidth="1"/>
    <col min="3" max="3" width="13.8515625" style="6" customWidth="1"/>
    <col min="4" max="4" width="7.57421875" style="6" customWidth="1"/>
    <col min="5" max="5" width="5.57421875" style="6" customWidth="1"/>
    <col min="6" max="6" width="8.8515625" style="6" customWidth="1"/>
    <col min="7" max="7" width="9.57421875" style="6" customWidth="1"/>
    <col min="8" max="8" width="12.00390625" style="6" customWidth="1"/>
    <col min="9" max="9" width="10.28125" style="6" customWidth="1"/>
    <col min="10" max="10" width="10.00390625" style="6" customWidth="1"/>
    <col min="11" max="11" width="12.28125" style="6" customWidth="1"/>
    <col min="12" max="16384" width="9.140625" style="6" customWidth="1"/>
  </cols>
  <sheetData>
    <row r="1" ht="23.25">
      <c r="A1" s="7" t="s">
        <v>68</v>
      </c>
    </row>
    <row r="3" spans="1:3" ht="12.75">
      <c r="A3" s="20" t="s">
        <v>0</v>
      </c>
      <c r="B3" s="20"/>
      <c r="C3" s="20"/>
    </row>
    <row r="4" spans="1:3" ht="12.75">
      <c r="A4" s="10" t="s">
        <v>47</v>
      </c>
      <c r="B4" s="10" t="s">
        <v>45</v>
      </c>
      <c r="C4" s="10" t="s">
        <v>46</v>
      </c>
    </row>
    <row r="5" spans="1:3" ht="12.75">
      <c r="A5" s="8" t="s">
        <v>1</v>
      </c>
      <c r="B5" s="13">
        <f>3.45/3600</f>
        <v>0.0009583333333333334</v>
      </c>
      <c r="C5" s="8" t="s">
        <v>2</v>
      </c>
    </row>
    <row r="6" spans="1:4" ht="12.75">
      <c r="A6" s="8" t="s">
        <v>3</v>
      </c>
      <c r="B6" s="8">
        <v>120</v>
      </c>
      <c r="C6" s="8" t="s">
        <v>4</v>
      </c>
      <c r="D6" s="6" t="s">
        <v>5</v>
      </c>
    </row>
    <row r="7" spans="1:3" ht="12.75">
      <c r="A7" s="8" t="s">
        <v>7</v>
      </c>
      <c r="B7" s="8">
        <v>180</v>
      </c>
      <c r="C7" s="8" t="s">
        <v>6</v>
      </c>
    </row>
    <row r="8" spans="1:3" ht="12.75">
      <c r="A8" s="8" t="s">
        <v>8</v>
      </c>
      <c r="B8" s="8">
        <v>18</v>
      </c>
      <c r="C8" s="8" t="s">
        <v>9</v>
      </c>
    </row>
    <row r="9" spans="1:3" ht="12.75">
      <c r="A9" s="8" t="s">
        <v>10</v>
      </c>
      <c r="B9" s="8">
        <f>3*10</f>
        <v>30</v>
      </c>
      <c r="C9" s="8" t="s">
        <v>11</v>
      </c>
    </row>
    <row r="10" spans="1:3" ht="12.75">
      <c r="A10" s="8" t="s">
        <v>13</v>
      </c>
      <c r="B10" s="8"/>
      <c r="C10" s="8"/>
    </row>
    <row r="11" spans="1:3" ht="12.75">
      <c r="A11" s="8" t="s">
        <v>40</v>
      </c>
      <c r="B11" s="8">
        <v>1</v>
      </c>
      <c r="C11" s="8" t="s">
        <v>39</v>
      </c>
    </row>
    <row r="12" spans="1:4" ht="12.75">
      <c r="A12" s="8" t="s">
        <v>64</v>
      </c>
      <c r="B12" s="8">
        <f>2/100</f>
        <v>0.02</v>
      </c>
      <c r="C12" s="8" t="s">
        <v>65</v>
      </c>
      <c r="D12" s="6" t="s">
        <v>69</v>
      </c>
    </row>
    <row r="14" spans="1:3" ht="12.75">
      <c r="A14" s="21" t="s">
        <v>48</v>
      </c>
      <c r="B14" s="22"/>
      <c r="C14" s="23"/>
    </row>
    <row r="15" spans="1:3" ht="12.75">
      <c r="A15" s="8" t="s">
        <v>12</v>
      </c>
      <c r="B15" s="8">
        <f>B7/B8</f>
        <v>10</v>
      </c>
      <c r="C15" s="8" t="s">
        <v>55</v>
      </c>
    </row>
    <row r="16" spans="1:3" ht="12.75">
      <c r="A16" s="8" t="s">
        <v>14</v>
      </c>
      <c r="B16" s="13">
        <f>B5*B15</f>
        <v>0.009583333333333334</v>
      </c>
      <c r="C16" s="8" t="s">
        <v>54</v>
      </c>
    </row>
    <row r="17" spans="1:3" ht="12.75">
      <c r="A17" s="8" t="s">
        <v>15</v>
      </c>
      <c r="B17" s="5">
        <f>1/(1+1.852)+1/2/B15+1/6/B15/B15*(1.852-1)^0.5</f>
        <v>0.4021695334794426</v>
      </c>
      <c r="C17" s="8" t="s">
        <v>16</v>
      </c>
    </row>
    <row r="18" spans="1:3" ht="12.75">
      <c r="A18" s="8" t="s">
        <v>17</v>
      </c>
      <c r="B18" s="16">
        <f>0.2*B9-(B7*B12)</f>
        <v>2.4</v>
      </c>
      <c r="C18" s="8" t="s">
        <v>18</v>
      </c>
    </row>
    <row r="19" spans="1:3" ht="12.75">
      <c r="A19" s="8" t="s">
        <v>19</v>
      </c>
      <c r="B19" s="4">
        <f>B18/B17</f>
        <v>5.967632553455665</v>
      </c>
      <c r="C19" s="8" t="s">
        <v>20</v>
      </c>
    </row>
    <row r="20" spans="1:3" ht="12.75">
      <c r="A20" s="8" t="s">
        <v>21</v>
      </c>
      <c r="B20" s="4">
        <f>((10.641*(B16/B6)^1.852*B7)/B19)^(1/4.87)</f>
        <v>0.09044436353955021</v>
      </c>
      <c r="C20" s="8" t="s">
        <v>22</v>
      </c>
    </row>
    <row r="21" spans="1:3" ht="12.75">
      <c r="A21" s="11"/>
      <c r="B21" s="12"/>
      <c r="C21" s="11"/>
    </row>
    <row r="22" spans="1:3" ht="12.75">
      <c r="A22" s="21" t="s">
        <v>53</v>
      </c>
      <c r="B22" s="22"/>
      <c r="C22" s="23"/>
    </row>
    <row r="23" spans="1:3" ht="12.75">
      <c r="A23" s="8" t="s">
        <v>24</v>
      </c>
      <c r="B23" s="4">
        <f>0.108</f>
        <v>0.108</v>
      </c>
      <c r="C23" s="8" t="s">
        <v>23</v>
      </c>
    </row>
    <row r="24" spans="1:3" ht="12.75">
      <c r="A24" s="8" t="s">
        <v>27</v>
      </c>
      <c r="B24" s="4">
        <f>10.641*(B16/120)^1.852*B7/(B23^4.87)*B17</f>
        <v>1.011615538201642</v>
      </c>
      <c r="C24" s="8" t="s">
        <v>52</v>
      </c>
    </row>
    <row r="25" spans="1:3" ht="12.75">
      <c r="A25" s="8" t="s">
        <v>38</v>
      </c>
      <c r="B25" s="14">
        <f>B9+3/4*B24+B11+(B12*B7)/2</f>
        <v>33.55871165365123</v>
      </c>
      <c r="C25" s="8" t="s">
        <v>51</v>
      </c>
    </row>
    <row r="26" spans="1:4" ht="12.75">
      <c r="A26" s="8" t="s">
        <v>41</v>
      </c>
      <c r="B26" s="4">
        <f>B25-B24-B12*B7</f>
        <v>28.94709611544959</v>
      </c>
      <c r="C26" s="8" t="s">
        <v>42</v>
      </c>
      <c r="D26" s="6" t="s">
        <v>50</v>
      </c>
    </row>
    <row r="27" spans="1:4" ht="12.75">
      <c r="A27" s="8" t="s">
        <v>41</v>
      </c>
      <c r="B27" s="15">
        <f>B9+B11-1/4*B24-(B12*B7)/2</f>
        <v>28.94709611544959</v>
      </c>
      <c r="C27" s="8" t="s">
        <v>42</v>
      </c>
      <c r="D27" s="6" t="s">
        <v>49</v>
      </c>
    </row>
    <row r="28" ht="12.75">
      <c r="A28" s="11"/>
    </row>
    <row r="29" spans="1:11" ht="12.75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" customFormat="1" ht="12.75">
      <c r="A30" s="1" t="s">
        <v>25</v>
      </c>
      <c r="B30" s="1" t="s">
        <v>26</v>
      </c>
      <c r="C30" s="1" t="s">
        <v>57</v>
      </c>
      <c r="D30" s="1" t="s">
        <v>58</v>
      </c>
      <c r="E30" s="24" t="s">
        <v>4</v>
      </c>
      <c r="F30" s="1" t="s">
        <v>59</v>
      </c>
      <c r="G30" s="1" t="s">
        <v>63</v>
      </c>
      <c r="H30" s="1" t="s">
        <v>66</v>
      </c>
      <c r="I30" s="1" t="s">
        <v>67</v>
      </c>
      <c r="J30" s="24" t="s">
        <v>43</v>
      </c>
      <c r="K30" s="1" t="s">
        <v>62</v>
      </c>
    </row>
    <row r="31" spans="1:11" s="2" customFormat="1" ht="12.75">
      <c r="A31" s="1"/>
      <c r="B31" s="1" t="s">
        <v>56</v>
      </c>
      <c r="C31" s="1" t="s">
        <v>61</v>
      </c>
      <c r="D31" s="1" t="s">
        <v>56</v>
      </c>
      <c r="E31" s="25"/>
      <c r="F31" s="1" t="s">
        <v>60</v>
      </c>
      <c r="G31" s="1" t="s">
        <v>56</v>
      </c>
      <c r="H31" s="1" t="s">
        <v>60</v>
      </c>
      <c r="I31" s="1" t="s">
        <v>60</v>
      </c>
      <c r="J31" s="25"/>
      <c r="K31" s="1" t="s">
        <v>60</v>
      </c>
    </row>
    <row r="32" spans="1:11" s="2" customFormat="1" ht="12.75">
      <c r="A32" s="8" t="s">
        <v>37</v>
      </c>
      <c r="B32" s="8">
        <f>$B$8</f>
        <v>18</v>
      </c>
      <c r="C32" s="13">
        <f>B16</f>
        <v>0.009583333333333334</v>
      </c>
      <c r="D32" s="4">
        <f>$B$23</f>
        <v>0.108</v>
      </c>
      <c r="E32" s="8">
        <f>$B$6</f>
        <v>120</v>
      </c>
      <c r="F32" s="5">
        <f>10.641*(C32/$B$6)^1.852*B32/(D32^4.87)</f>
        <v>0.2515395757230705</v>
      </c>
      <c r="G32" s="4">
        <f>$B$12*B32</f>
        <v>0.36</v>
      </c>
      <c r="H32" s="14">
        <f>B25</f>
        <v>33.55871165365123</v>
      </c>
      <c r="I32" s="4">
        <f>H32-F32-G32</f>
        <v>32.94717207792816</v>
      </c>
      <c r="J32" s="8">
        <v>1</v>
      </c>
      <c r="K32" s="4">
        <f>I32-$B$11</f>
        <v>31.94717207792816</v>
      </c>
    </row>
    <row r="33" spans="1:11" s="2" customFormat="1" ht="12.75">
      <c r="A33" s="8" t="s">
        <v>28</v>
      </c>
      <c r="B33" s="8">
        <f>$B$8</f>
        <v>18</v>
      </c>
      <c r="C33" s="13">
        <f>C32-$B$5</f>
        <v>0.008625</v>
      </c>
      <c r="D33" s="4">
        <f aca="true" t="shared" si="0" ref="D33:D41">$B$23</f>
        <v>0.108</v>
      </c>
      <c r="E33" s="8">
        <f aca="true" t="shared" si="1" ref="E33:E41">$B$6</f>
        <v>120</v>
      </c>
      <c r="F33" s="5">
        <f aca="true" t="shared" si="2" ref="F33:F41">10.641*(C33/$B$6)^1.852*B33/(D33^4.87)</f>
        <v>0.2069490568703657</v>
      </c>
      <c r="G33" s="4">
        <f aca="true" t="shared" si="3" ref="G33:G41">$B$12*B33</f>
        <v>0.36</v>
      </c>
      <c r="H33" s="4">
        <f>H32-F32-G32</f>
        <v>32.94717207792816</v>
      </c>
      <c r="I33" s="4">
        <f aca="true" t="shared" si="4" ref="I33:I41">H33-F33-G33</f>
        <v>32.380223021057795</v>
      </c>
      <c r="J33" s="8">
        <v>2</v>
      </c>
      <c r="K33" s="4">
        <f aca="true" t="shared" si="5" ref="K33:K41">I33-$B$11</f>
        <v>31.380223021057795</v>
      </c>
    </row>
    <row r="34" spans="1:11" s="2" customFormat="1" ht="12.75">
      <c r="A34" s="8" t="s">
        <v>29</v>
      </c>
      <c r="B34" s="8">
        <f aca="true" t="shared" si="6" ref="B34:B41">$B$8</f>
        <v>18</v>
      </c>
      <c r="C34" s="13">
        <f aca="true" t="shared" si="7" ref="C34:C41">C33-$B$5</f>
        <v>0.007666666666666667</v>
      </c>
      <c r="D34" s="4">
        <f t="shared" si="0"/>
        <v>0.108</v>
      </c>
      <c r="E34" s="8">
        <f t="shared" si="1"/>
        <v>120</v>
      </c>
      <c r="F34" s="5">
        <f t="shared" si="2"/>
        <v>0.16639067362108168</v>
      </c>
      <c r="G34" s="4">
        <f t="shared" si="3"/>
        <v>0.36</v>
      </c>
      <c r="H34" s="4">
        <f aca="true" t="shared" si="8" ref="H34:H41">H33-F33-G33</f>
        <v>32.380223021057795</v>
      </c>
      <c r="I34" s="4">
        <f t="shared" si="4"/>
        <v>31.853832347436715</v>
      </c>
      <c r="J34" s="8">
        <v>3</v>
      </c>
      <c r="K34" s="4">
        <f t="shared" si="5"/>
        <v>30.853832347436715</v>
      </c>
    </row>
    <row r="35" spans="1:11" s="2" customFormat="1" ht="12.75">
      <c r="A35" s="8" t="s">
        <v>30</v>
      </c>
      <c r="B35" s="8">
        <f t="shared" si="6"/>
        <v>18</v>
      </c>
      <c r="C35" s="13">
        <f t="shared" si="7"/>
        <v>0.0067083333333333335</v>
      </c>
      <c r="D35" s="4">
        <f t="shared" si="0"/>
        <v>0.108</v>
      </c>
      <c r="E35" s="8">
        <f t="shared" si="1"/>
        <v>120</v>
      </c>
      <c r="F35" s="5">
        <f t="shared" si="2"/>
        <v>0.12993552160062682</v>
      </c>
      <c r="G35" s="4">
        <f t="shared" si="3"/>
        <v>0.36</v>
      </c>
      <c r="H35" s="4">
        <f t="shared" si="8"/>
        <v>31.853832347436715</v>
      </c>
      <c r="I35" s="4">
        <f t="shared" si="4"/>
        <v>31.36389682583609</v>
      </c>
      <c r="J35" s="8">
        <v>4</v>
      </c>
      <c r="K35" s="4">
        <f t="shared" si="5"/>
        <v>30.36389682583609</v>
      </c>
    </row>
    <row r="36" spans="1:11" s="2" customFormat="1" ht="12.75">
      <c r="A36" s="8" t="s">
        <v>31</v>
      </c>
      <c r="B36" s="8">
        <f t="shared" si="6"/>
        <v>18</v>
      </c>
      <c r="C36" s="13">
        <f t="shared" si="7"/>
        <v>0.00575</v>
      </c>
      <c r="D36" s="4">
        <f t="shared" si="0"/>
        <v>0.108</v>
      </c>
      <c r="E36" s="8">
        <f t="shared" si="1"/>
        <v>120</v>
      </c>
      <c r="F36" s="5">
        <f t="shared" si="2"/>
        <v>0.09766578379685292</v>
      </c>
      <c r="G36" s="4">
        <f t="shared" si="3"/>
        <v>0.36</v>
      </c>
      <c r="H36" s="4">
        <f t="shared" si="8"/>
        <v>31.36389682583609</v>
      </c>
      <c r="I36" s="4">
        <f t="shared" si="4"/>
        <v>30.906231042039238</v>
      </c>
      <c r="J36" s="8">
        <v>5</v>
      </c>
      <c r="K36" s="4">
        <f t="shared" si="5"/>
        <v>29.906231042039238</v>
      </c>
    </row>
    <row r="37" spans="1:11" s="2" customFormat="1" ht="12.75">
      <c r="A37" s="8" t="s">
        <v>32</v>
      </c>
      <c r="B37" s="8">
        <f t="shared" si="6"/>
        <v>18</v>
      </c>
      <c r="C37" s="13">
        <f t="shared" si="7"/>
        <v>0.004791666666666666</v>
      </c>
      <c r="D37" s="4">
        <f t="shared" si="0"/>
        <v>0.108</v>
      </c>
      <c r="E37" s="8">
        <f t="shared" si="1"/>
        <v>120</v>
      </c>
      <c r="F37" s="5">
        <f t="shared" si="2"/>
        <v>0.06967849666734507</v>
      </c>
      <c r="G37" s="4">
        <f t="shared" si="3"/>
        <v>0.36</v>
      </c>
      <c r="H37" s="4">
        <f t="shared" si="8"/>
        <v>30.906231042039238</v>
      </c>
      <c r="I37" s="4">
        <f t="shared" si="4"/>
        <v>30.476552545371895</v>
      </c>
      <c r="J37" s="8">
        <v>6</v>
      </c>
      <c r="K37" s="4">
        <f t="shared" si="5"/>
        <v>29.476552545371895</v>
      </c>
    </row>
    <row r="38" spans="1:11" s="2" customFormat="1" ht="12.75">
      <c r="A38" s="8" t="s">
        <v>33</v>
      </c>
      <c r="B38" s="8">
        <f t="shared" si="6"/>
        <v>18</v>
      </c>
      <c r="C38" s="13">
        <f t="shared" si="7"/>
        <v>0.0038333333333333327</v>
      </c>
      <c r="D38" s="4">
        <f t="shared" si="0"/>
        <v>0.108</v>
      </c>
      <c r="E38" s="8">
        <f t="shared" si="1"/>
        <v>120</v>
      </c>
      <c r="F38" s="5">
        <f t="shared" si="2"/>
        <v>0.04609156218879846</v>
      </c>
      <c r="G38" s="4">
        <f t="shared" si="3"/>
        <v>0.36</v>
      </c>
      <c r="H38" s="4">
        <f t="shared" si="8"/>
        <v>30.476552545371895</v>
      </c>
      <c r="I38" s="4">
        <f t="shared" si="4"/>
        <v>30.070460983183096</v>
      </c>
      <c r="J38" s="8">
        <v>7</v>
      </c>
      <c r="K38" s="4">
        <f t="shared" si="5"/>
        <v>29.070460983183096</v>
      </c>
    </row>
    <row r="39" spans="1:11" s="2" customFormat="1" ht="12.75">
      <c r="A39" s="8" t="s">
        <v>34</v>
      </c>
      <c r="B39" s="8">
        <f t="shared" si="6"/>
        <v>18</v>
      </c>
      <c r="C39" s="13">
        <f t="shared" si="7"/>
        <v>0.002874999999999999</v>
      </c>
      <c r="D39" s="4">
        <f t="shared" si="0"/>
        <v>0.108</v>
      </c>
      <c r="E39" s="8">
        <f t="shared" si="1"/>
        <v>120</v>
      </c>
      <c r="F39" s="5">
        <f t="shared" si="2"/>
        <v>0.02705421193162381</v>
      </c>
      <c r="G39" s="4">
        <f t="shared" si="3"/>
        <v>0.36</v>
      </c>
      <c r="H39" s="4">
        <f t="shared" si="8"/>
        <v>30.070460983183096</v>
      </c>
      <c r="I39" s="4">
        <f t="shared" si="4"/>
        <v>29.683406771251473</v>
      </c>
      <c r="J39" s="8">
        <v>8</v>
      </c>
      <c r="K39" s="4">
        <f t="shared" si="5"/>
        <v>28.683406771251473</v>
      </c>
    </row>
    <row r="40" spans="1:11" s="2" customFormat="1" ht="12.75">
      <c r="A40" s="8" t="s">
        <v>35</v>
      </c>
      <c r="B40" s="8">
        <f t="shared" si="6"/>
        <v>18</v>
      </c>
      <c r="C40" s="13">
        <f t="shared" si="7"/>
        <v>0.0019166666666666657</v>
      </c>
      <c r="D40" s="4">
        <f t="shared" si="0"/>
        <v>0.108</v>
      </c>
      <c r="E40" s="8">
        <f t="shared" si="1"/>
        <v>120</v>
      </c>
      <c r="F40" s="5">
        <f t="shared" si="2"/>
        <v>0.012767735467204114</v>
      </c>
      <c r="G40" s="4">
        <f t="shared" si="3"/>
        <v>0.36</v>
      </c>
      <c r="H40" s="4">
        <f t="shared" si="8"/>
        <v>29.683406771251473</v>
      </c>
      <c r="I40" s="4">
        <f t="shared" si="4"/>
        <v>29.31063903578427</v>
      </c>
      <c r="J40" s="8">
        <v>9</v>
      </c>
      <c r="K40" s="4">
        <f t="shared" si="5"/>
        <v>28.31063903578427</v>
      </c>
    </row>
    <row r="41" spans="1:11" s="2" customFormat="1" ht="12.75">
      <c r="A41" s="8" t="s">
        <v>36</v>
      </c>
      <c r="B41" s="8">
        <f t="shared" si="6"/>
        <v>18</v>
      </c>
      <c r="C41" s="13">
        <f t="shared" si="7"/>
        <v>0.0009583333333333323</v>
      </c>
      <c r="D41" s="4">
        <f t="shared" si="0"/>
        <v>0.108</v>
      </c>
      <c r="E41" s="8">
        <f t="shared" si="1"/>
        <v>120</v>
      </c>
      <c r="F41" s="5">
        <f t="shared" si="2"/>
        <v>0.003536765976661105</v>
      </c>
      <c r="G41" s="4">
        <f t="shared" si="3"/>
        <v>0.36</v>
      </c>
      <c r="H41" s="4">
        <f t="shared" si="8"/>
        <v>29.31063903578427</v>
      </c>
      <c r="I41" s="15">
        <f t="shared" si="4"/>
        <v>28.94710226980761</v>
      </c>
      <c r="J41" s="8">
        <v>10</v>
      </c>
      <c r="K41" s="4">
        <f t="shared" si="5"/>
        <v>27.94710226980761</v>
      </c>
    </row>
    <row r="42" spans="2:8" s="2" customFormat="1" ht="12.75">
      <c r="B42" s="8">
        <f>SUM(B32:B41)</f>
        <v>180</v>
      </c>
      <c r="C42" s="9"/>
      <c r="F42" s="3">
        <f>SUM(F32:F41)</f>
        <v>1.0116093838436304</v>
      </c>
      <c r="G42" s="3">
        <f>SUM(G32:G41)</f>
        <v>3.599999999999999</v>
      </c>
      <c r="H42" s="6"/>
    </row>
    <row r="43" ht="12.75">
      <c r="D43" s="9"/>
    </row>
    <row r="44" ht="12.75">
      <c r="A44" s="6" t="s">
        <v>71</v>
      </c>
    </row>
  </sheetData>
  <sheetProtection/>
  <mergeCells count="6">
    <mergeCell ref="J30:J31"/>
    <mergeCell ref="A29:K29"/>
    <mergeCell ref="A3:C3"/>
    <mergeCell ref="A14:C14"/>
    <mergeCell ref="A22:C22"/>
    <mergeCell ref="E30:E31"/>
  </mergeCells>
  <printOptions/>
  <pageMargins left="0.19" right="0.34" top="0.32" bottom="0.28" header="0.2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B40" sqref="B40"/>
    </sheetView>
  </sheetViews>
  <sheetFormatPr defaultColWidth="9.140625" defaultRowHeight="12.75"/>
  <cols>
    <col min="1" max="1" width="38.57421875" style="6" customWidth="1"/>
    <col min="2" max="2" width="17.00390625" style="6" customWidth="1"/>
    <col min="3" max="3" width="13.57421875" style="6" customWidth="1"/>
    <col min="4" max="4" width="7.57421875" style="6" customWidth="1"/>
    <col min="5" max="5" width="5.57421875" style="6" customWidth="1"/>
    <col min="6" max="6" width="8.8515625" style="6" customWidth="1"/>
    <col min="7" max="7" width="9.57421875" style="6" customWidth="1"/>
    <col min="8" max="8" width="12.00390625" style="6" customWidth="1"/>
    <col min="9" max="9" width="10.28125" style="6" customWidth="1"/>
    <col min="10" max="10" width="10.00390625" style="6" customWidth="1"/>
    <col min="11" max="11" width="12.28125" style="6" customWidth="1"/>
    <col min="12" max="16384" width="9.140625" style="6" customWidth="1"/>
  </cols>
  <sheetData>
    <row r="1" ht="23.25">
      <c r="A1" s="7" t="s">
        <v>70</v>
      </c>
    </row>
    <row r="3" spans="1:3" ht="12.75">
      <c r="A3" s="20" t="s">
        <v>0</v>
      </c>
      <c r="B3" s="20"/>
      <c r="C3" s="20"/>
    </row>
    <row r="4" spans="1:3" ht="12.75">
      <c r="A4" s="10" t="s">
        <v>47</v>
      </c>
      <c r="B4" s="10" t="s">
        <v>45</v>
      </c>
      <c r="C4" s="10" t="s">
        <v>46</v>
      </c>
    </row>
    <row r="5" spans="1:3" ht="12.75">
      <c r="A5" s="8" t="s">
        <v>1</v>
      </c>
      <c r="B5" s="13">
        <f>3.45/3600</f>
        <v>0.0009583333333333334</v>
      </c>
      <c r="C5" s="8" t="s">
        <v>2</v>
      </c>
    </row>
    <row r="6" spans="1:4" ht="12.75">
      <c r="A6" s="8" t="s">
        <v>3</v>
      </c>
      <c r="B6" s="8">
        <v>120</v>
      </c>
      <c r="C6" s="8" t="s">
        <v>4</v>
      </c>
      <c r="D6" s="6" t="s">
        <v>5</v>
      </c>
    </row>
    <row r="7" spans="1:3" ht="12.75">
      <c r="A7" s="8" t="s">
        <v>7</v>
      </c>
      <c r="B7" s="8">
        <v>180</v>
      </c>
      <c r="C7" s="8" t="s">
        <v>6</v>
      </c>
    </row>
    <row r="8" spans="1:3" ht="12.75">
      <c r="A8" s="8" t="s">
        <v>8</v>
      </c>
      <c r="B8" s="8">
        <v>18</v>
      </c>
      <c r="C8" s="8" t="s">
        <v>9</v>
      </c>
    </row>
    <row r="9" spans="1:3" ht="12.75">
      <c r="A9" s="8" t="s">
        <v>10</v>
      </c>
      <c r="B9" s="8">
        <f>3*10</f>
        <v>30</v>
      </c>
      <c r="C9" s="8" t="s">
        <v>11</v>
      </c>
    </row>
    <row r="10" spans="1:3" ht="12.75">
      <c r="A10" s="8" t="s">
        <v>13</v>
      </c>
      <c r="B10" s="8"/>
      <c r="C10" s="8"/>
    </row>
    <row r="11" spans="1:3" ht="12.75">
      <c r="A11" s="8" t="s">
        <v>40</v>
      </c>
      <c r="B11" s="8">
        <v>1</v>
      </c>
      <c r="C11" s="8" t="s">
        <v>39</v>
      </c>
    </row>
    <row r="12" spans="1:4" ht="12.75">
      <c r="A12" s="8" t="s">
        <v>64</v>
      </c>
      <c r="B12" s="8">
        <v>0.02</v>
      </c>
      <c r="C12" s="8" t="s">
        <v>65</v>
      </c>
      <c r="D12" s="6" t="s">
        <v>69</v>
      </c>
    </row>
    <row r="14" spans="1:3" ht="12.75">
      <c r="A14" s="21" t="s">
        <v>48</v>
      </c>
      <c r="B14" s="22"/>
      <c r="C14" s="23"/>
    </row>
    <row r="15" spans="1:3" ht="12.75">
      <c r="A15" s="8" t="s">
        <v>12</v>
      </c>
      <c r="B15" s="8">
        <f>B7/B8</f>
        <v>10</v>
      </c>
      <c r="C15" s="8" t="s">
        <v>55</v>
      </c>
    </row>
    <row r="16" spans="1:3" ht="12.75">
      <c r="A16" s="8" t="s">
        <v>14</v>
      </c>
      <c r="B16" s="13">
        <f>B5*B15</f>
        <v>0.009583333333333334</v>
      </c>
      <c r="C16" s="8" t="s">
        <v>54</v>
      </c>
    </row>
    <row r="17" spans="1:3" ht="12.75">
      <c r="A17" s="8" t="s">
        <v>15</v>
      </c>
      <c r="B17" s="5">
        <f>1/(1+1.852)+1/2/B15+1/6/B15/B15*(1.852-1)^0.5</f>
        <v>0.4021695334794426</v>
      </c>
      <c r="C17" s="8" t="s">
        <v>16</v>
      </c>
    </row>
    <row r="18" spans="1:3" ht="12.75">
      <c r="A18" s="8" t="s">
        <v>17</v>
      </c>
      <c r="B18" s="16">
        <f>0.2*B9+(B7*B12)</f>
        <v>9.6</v>
      </c>
      <c r="C18" s="8" t="s">
        <v>18</v>
      </c>
    </row>
    <row r="19" spans="1:3" ht="12.75">
      <c r="A19" s="8" t="s">
        <v>19</v>
      </c>
      <c r="B19" s="4">
        <f>B18/B17</f>
        <v>23.87053021382266</v>
      </c>
      <c r="C19" s="8" t="s">
        <v>20</v>
      </c>
    </row>
    <row r="20" spans="1:3" ht="12.75">
      <c r="A20" s="8" t="s">
        <v>21</v>
      </c>
      <c r="B20" s="4">
        <f>((10.641*(B16/B6)^1.852*B7)/B19)^(1/4.87)</f>
        <v>0.06803857753853051</v>
      </c>
      <c r="C20" s="8" t="s">
        <v>22</v>
      </c>
    </row>
    <row r="21" spans="1:3" ht="12.75">
      <c r="A21" s="11"/>
      <c r="B21" s="12"/>
      <c r="C21" s="11"/>
    </row>
    <row r="22" spans="1:3" ht="12.75">
      <c r="A22" s="21" t="s">
        <v>53</v>
      </c>
      <c r="B22" s="22"/>
      <c r="C22" s="23"/>
    </row>
    <row r="23" spans="1:3" ht="12.75">
      <c r="A23" s="8" t="s">
        <v>24</v>
      </c>
      <c r="B23" s="4">
        <f>0.07</f>
        <v>0.07</v>
      </c>
      <c r="C23" s="8" t="s">
        <v>23</v>
      </c>
    </row>
    <row r="24" spans="1:3" ht="12.75">
      <c r="A24" s="8" t="s">
        <v>27</v>
      </c>
      <c r="B24" s="4">
        <f>10.641*(B16/120)^1.852*B7/(B23^4.87)*B17</f>
        <v>8.359142441236873</v>
      </c>
      <c r="C24" s="8" t="s">
        <v>52</v>
      </c>
    </row>
    <row r="25" spans="1:3" ht="12.75">
      <c r="A25" s="8" t="s">
        <v>38</v>
      </c>
      <c r="B25" s="14">
        <f>B9+3/4*B24+B11-(B12*B7)/2</f>
        <v>35.46935683092766</v>
      </c>
      <c r="C25" s="8" t="s">
        <v>51</v>
      </c>
    </row>
    <row r="26" spans="1:4" ht="12.75">
      <c r="A26" s="8" t="s">
        <v>41</v>
      </c>
      <c r="B26" s="4">
        <f>B25-B24+B12*B7</f>
        <v>30.710214389690787</v>
      </c>
      <c r="C26" s="8" t="s">
        <v>42</v>
      </c>
      <c r="D26" s="6" t="s">
        <v>50</v>
      </c>
    </row>
    <row r="27" spans="1:4" ht="12.75">
      <c r="A27" s="8" t="s">
        <v>41</v>
      </c>
      <c r="B27" s="15">
        <f>B9+B11-1/4*B24+(B12*B7)/2</f>
        <v>30.710214389690783</v>
      </c>
      <c r="C27" s="8" t="s">
        <v>42</v>
      </c>
      <c r="D27" s="6" t="s">
        <v>49</v>
      </c>
    </row>
    <row r="28" spans="1:3" ht="12.75">
      <c r="A28" s="11"/>
      <c r="B28" s="11"/>
      <c r="C28" s="11"/>
    </row>
    <row r="29" spans="1:11" ht="12.75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" customFormat="1" ht="12.75">
      <c r="A30" s="1" t="s">
        <v>25</v>
      </c>
      <c r="B30" s="1" t="s">
        <v>26</v>
      </c>
      <c r="C30" s="1" t="s">
        <v>57</v>
      </c>
      <c r="D30" s="1" t="s">
        <v>58</v>
      </c>
      <c r="E30" s="24" t="s">
        <v>4</v>
      </c>
      <c r="F30" s="1" t="s">
        <v>59</v>
      </c>
      <c r="G30" s="1" t="s">
        <v>63</v>
      </c>
      <c r="H30" s="1" t="s">
        <v>66</v>
      </c>
      <c r="I30" s="1" t="s">
        <v>67</v>
      </c>
      <c r="J30" s="24" t="s">
        <v>43</v>
      </c>
      <c r="K30" s="1" t="s">
        <v>62</v>
      </c>
    </row>
    <row r="31" spans="1:11" s="2" customFormat="1" ht="12.75">
      <c r="A31" s="1"/>
      <c r="B31" s="1" t="s">
        <v>56</v>
      </c>
      <c r="C31" s="1" t="s">
        <v>61</v>
      </c>
      <c r="D31" s="1" t="s">
        <v>56</v>
      </c>
      <c r="E31" s="25"/>
      <c r="F31" s="1" t="s">
        <v>60</v>
      </c>
      <c r="G31" s="1" t="s">
        <v>56</v>
      </c>
      <c r="H31" s="1" t="s">
        <v>60</v>
      </c>
      <c r="I31" s="1" t="s">
        <v>60</v>
      </c>
      <c r="J31" s="25"/>
      <c r="K31" s="1" t="s">
        <v>60</v>
      </c>
    </row>
    <row r="32" spans="1:11" s="2" customFormat="1" ht="12.75">
      <c r="A32" s="8" t="s">
        <v>37</v>
      </c>
      <c r="B32" s="8">
        <f>$B$8</f>
        <v>18</v>
      </c>
      <c r="C32" s="13">
        <f>B16</f>
        <v>0.009583333333333334</v>
      </c>
      <c r="D32" s="4">
        <f>$B$23</f>
        <v>0.07</v>
      </c>
      <c r="E32" s="8">
        <f>$B$6</f>
        <v>120</v>
      </c>
      <c r="F32" s="5">
        <f>10.641*(C32/$B$6)^1.852*B32/(D32^4.87)</f>
        <v>2.078512106304084</v>
      </c>
      <c r="G32" s="4">
        <f>$B$12*B32</f>
        <v>0.36</v>
      </c>
      <c r="H32" s="14">
        <f>B25</f>
        <v>35.46935683092766</v>
      </c>
      <c r="I32" s="4">
        <f>H32-F32+G32</f>
        <v>33.750844724623576</v>
      </c>
      <c r="J32" s="8">
        <v>1</v>
      </c>
      <c r="K32" s="4">
        <f aca="true" t="shared" si="0" ref="K32:K41">I32-$B$11</f>
        <v>32.750844724623576</v>
      </c>
    </row>
    <row r="33" spans="1:11" s="2" customFormat="1" ht="12.75">
      <c r="A33" s="8" t="s">
        <v>28</v>
      </c>
      <c r="B33" s="8">
        <f>$B$8</f>
        <v>18</v>
      </c>
      <c r="C33" s="13">
        <f>C32-$B$5</f>
        <v>0.008625</v>
      </c>
      <c r="D33" s="4">
        <f aca="true" t="shared" si="1" ref="D33:D41">$B$23</f>
        <v>0.07</v>
      </c>
      <c r="E33" s="8">
        <f aca="true" t="shared" si="2" ref="E33:E41">$B$6</f>
        <v>120</v>
      </c>
      <c r="F33" s="5">
        <f aca="true" t="shared" si="3" ref="F33:F41">10.641*(C33/$B$6)^1.852*B33/(D33^4.87)</f>
        <v>1.7100534532459886</v>
      </c>
      <c r="G33" s="4">
        <f aca="true" t="shared" si="4" ref="G33:G41">$B$12*B33</f>
        <v>0.36</v>
      </c>
      <c r="H33" s="4">
        <f>H32-F32+G32</f>
        <v>33.750844724623576</v>
      </c>
      <c r="I33" s="4">
        <f aca="true" t="shared" si="5" ref="I33:I41">H33-F33+G33</f>
        <v>32.400791271377585</v>
      </c>
      <c r="J33" s="8">
        <v>2</v>
      </c>
      <c r="K33" s="4">
        <f t="shared" si="0"/>
        <v>31.400791271377585</v>
      </c>
    </row>
    <row r="34" spans="1:11" s="2" customFormat="1" ht="12.75">
      <c r="A34" s="8" t="s">
        <v>29</v>
      </c>
      <c r="B34" s="8">
        <f aca="true" t="shared" si="6" ref="B34:B41">$B$8</f>
        <v>18</v>
      </c>
      <c r="C34" s="13">
        <f aca="true" t="shared" si="7" ref="C34:C41">C33-$B$5</f>
        <v>0.007666666666666667</v>
      </c>
      <c r="D34" s="4">
        <f t="shared" si="1"/>
        <v>0.07</v>
      </c>
      <c r="E34" s="8">
        <f t="shared" si="2"/>
        <v>120</v>
      </c>
      <c r="F34" s="5">
        <f t="shared" si="3"/>
        <v>1.3749129873633241</v>
      </c>
      <c r="G34" s="4">
        <f t="shared" si="4"/>
        <v>0.36</v>
      </c>
      <c r="H34" s="4">
        <f aca="true" t="shared" si="8" ref="H34:H41">H33-F33+G33</f>
        <v>32.400791271377585</v>
      </c>
      <c r="I34" s="4">
        <f t="shared" si="5"/>
        <v>31.38587828401426</v>
      </c>
      <c r="J34" s="8">
        <v>3</v>
      </c>
      <c r="K34" s="4">
        <f t="shared" si="0"/>
        <v>30.38587828401426</v>
      </c>
    </row>
    <row r="35" spans="1:11" s="2" customFormat="1" ht="12.75">
      <c r="A35" s="8" t="s">
        <v>30</v>
      </c>
      <c r="B35" s="8">
        <f t="shared" si="6"/>
        <v>18</v>
      </c>
      <c r="C35" s="13">
        <f t="shared" si="7"/>
        <v>0.0067083333333333335</v>
      </c>
      <c r="D35" s="4">
        <f t="shared" si="1"/>
        <v>0.07</v>
      </c>
      <c r="E35" s="8">
        <f t="shared" si="2"/>
        <v>120</v>
      </c>
      <c r="F35" s="5">
        <f t="shared" si="3"/>
        <v>1.07367818328187</v>
      </c>
      <c r="G35" s="4">
        <f t="shared" si="4"/>
        <v>0.36</v>
      </c>
      <c r="H35" s="4">
        <f t="shared" si="8"/>
        <v>31.38587828401426</v>
      </c>
      <c r="I35" s="4">
        <f t="shared" si="5"/>
        <v>30.67220010073239</v>
      </c>
      <c r="J35" s="8">
        <v>4</v>
      </c>
      <c r="K35" s="4">
        <f t="shared" si="0"/>
        <v>29.67220010073239</v>
      </c>
    </row>
    <row r="36" spans="1:11" s="2" customFormat="1" ht="12.75">
      <c r="A36" s="8" t="s">
        <v>31</v>
      </c>
      <c r="B36" s="8">
        <f t="shared" si="6"/>
        <v>18</v>
      </c>
      <c r="C36" s="13">
        <f t="shared" si="7"/>
        <v>0.00575</v>
      </c>
      <c r="D36" s="4">
        <f t="shared" si="1"/>
        <v>0.07</v>
      </c>
      <c r="E36" s="8">
        <f t="shared" si="2"/>
        <v>120</v>
      </c>
      <c r="F36" s="5">
        <f t="shared" si="3"/>
        <v>0.8070281322924946</v>
      </c>
      <c r="G36" s="4">
        <f t="shared" si="4"/>
        <v>0.36</v>
      </c>
      <c r="H36" s="4">
        <f t="shared" si="8"/>
        <v>30.67220010073239</v>
      </c>
      <c r="I36" s="4">
        <f t="shared" si="5"/>
        <v>30.225171968439895</v>
      </c>
      <c r="J36" s="8">
        <v>5</v>
      </c>
      <c r="K36" s="4">
        <f t="shared" si="0"/>
        <v>29.225171968439895</v>
      </c>
    </row>
    <row r="37" spans="1:11" s="2" customFormat="1" ht="12.75">
      <c r="A37" s="8" t="s">
        <v>32</v>
      </c>
      <c r="B37" s="8">
        <f t="shared" si="6"/>
        <v>18</v>
      </c>
      <c r="C37" s="13">
        <f t="shared" si="7"/>
        <v>0.004791666666666666</v>
      </c>
      <c r="D37" s="4">
        <f t="shared" si="1"/>
        <v>0.07</v>
      </c>
      <c r="E37" s="8">
        <f t="shared" si="2"/>
        <v>120</v>
      </c>
      <c r="F37" s="5">
        <f t="shared" si="3"/>
        <v>0.575764662303445</v>
      </c>
      <c r="G37" s="4">
        <f t="shared" si="4"/>
        <v>0.36</v>
      </c>
      <c r="H37" s="4">
        <f t="shared" si="8"/>
        <v>30.225171968439895</v>
      </c>
      <c r="I37" s="4">
        <f t="shared" si="5"/>
        <v>30.00940730613645</v>
      </c>
      <c r="J37" s="8">
        <v>6</v>
      </c>
      <c r="K37" s="4">
        <f t="shared" si="0"/>
        <v>29.00940730613645</v>
      </c>
    </row>
    <row r="38" spans="1:11" s="2" customFormat="1" ht="12.75">
      <c r="A38" s="8" t="s">
        <v>33</v>
      </c>
      <c r="B38" s="8">
        <f t="shared" si="6"/>
        <v>18</v>
      </c>
      <c r="C38" s="13">
        <f t="shared" si="7"/>
        <v>0.0038333333333333327</v>
      </c>
      <c r="D38" s="4">
        <f t="shared" si="1"/>
        <v>0.07</v>
      </c>
      <c r="E38" s="8">
        <f t="shared" si="2"/>
        <v>120</v>
      </c>
      <c r="F38" s="5">
        <f t="shared" si="3"/>
        <v>0.380862016374541</v>
      </c>
      <c r="G38" s="4">
        <f t="shared" si="4"/>
        <v>0.36</v>
      </c>
      <c r="H38" s="4">
        <f t="shared" si="8"/>
        <v>30.00940730613645</v>
      </c>
      <c r="I38" s="4">
        <f t="shared" si="5"/>
        <v>29.98854528976191</v>
      </c>
      <c r="J38" s="8">
        <v>7</v>
      </c>
      <c r="K38" s="4">
        <f t="shared" si="0"/>
        <v>28.98854528976191</v>
      </c>
    </row>
    <row r="39" spans="1:11" s="2" customFormat="1" ht="12.75">
      <c r="A39" s="8" t="s">
        <v>34</v>
      </c>
      <c r="B39" s="8">
        <f t="shared" si="6"/>
        <v>18</v>
      </c>
      <c r="C39" s="13">
        <f t="shared" si="7"/>
        <v>0.002874999999999999</v>
      </c>
      <c r="D39" s="4">
        <f t="shared" si="1"/>
        <v>0.07</v>
      </c>
      <c r="E39" s="8">
        <f t="shared" si="2"/>
        <v>120</v>
      </c>
      <c r="F39" s="5">
        <f t="shared" si="3"/>
        <v>0.2235533190542748</v>
      </c>
      <c r="G39" s="4">
        <f t="shared" si="4"/>
        <v>0.36</v>
      </c>
      <c r="H39" s="4">
        <f>H38-F38+G38</f>
        <v>29.98854528976191</v>
      </c>
      <c r="I39" s="4">
        <f t="shared" si="5"/>
        <v>30.124991970707633</v>
      </c>
      <c r="J39" s="8">
        <v>8</v>
      </c>
      <c r="K39" s="4">
        <f t="shared" si="0"/>
        <v>29.124991970707633</v>
      </c>
    </row>
    <row r="40" spans="1:11" s="2" customFormat="1" ht="12.75">
      <c r="A40" s="8" t="s">
        <v>35</v>
      </c>
      <c r="B40" s="8">
        <f t="shared" si="6"/>
        <v>18</v>
      </c>
      <c r="C40" s="13">
        <f t="shared" si="7"/>
        <v>0.0019166666666666657</v>
      </c>
      <c r="D40" s="4">
        <f t="shared" si="1"/>
        <v>0.07</v>
      </c>
      <c r="E40" s="8">
        <f t="shared" si="2"/>
        <v>120</v>
      </c>
      <c r="F40" s="5">
        <f t="shared" si="3"/>
        <v>0.10550185855401284</v>
      </c>
      <c r="G40" s="4">
        <f t="shared" si="4"/>
        <v>0.36</v>
      </c>
      <c r="H40" s="4">
        <f t="shared" si="8"/>
        <v>30.124991970707633</v>
      </c>
      <c r="I40" s="4">
        <f t="shared" si="5"/>
        <v>30.37949011215362</v>
      </c>
      <c r="J40" s="8">
        <v>9</v>
      </c>
      <c r="K40" s="4">
        <f t="shared" si="0"/>
        <v>29.37949011215362</v>
      </c>
    </row>
    <row r="41" spans="1:11" s="2" customFormat="1" ht="12.75">
      <c r="A41" s="8" t="s">
        <v>36</v>
      </c>
      <c r="B41" s="8">
        <f t="shared" si="6"/>
        <v>18</v>
      </c>
      <c r="C41" s="13">
        <f t="shared" si="7"/>
        <v>0.0009583333333333323</v>
      </c>
      <c r="D41" s="4">
        <f t="shared" si="1"/>
        <v>0.07</v>
      </c>
      <c r="E41" s="8">
        <f t="shared" si="2"/>
        <v>120</v>
      </c>
      <c r="F41" s="5">
        <f t="shared" si="3"/>
        <v>0.029224868009428955</v>
      </c>
      <c r="G41" s="4">
        <f t="shared" si="4"/>
        <v>0.36</v>
      </c>
      <c r="H41" s="4">
        <f t="shared" si="8"/>
        <v>30.37949011215362</v>
      </c>
      <c r="I41" s="15">
        <f t="shared" si="5"/>
        <v>30.71026524414419</v>
      </c>
      <c r="J41" s="8">
        <v>10</v>
      </c>
      <c r="K41" s="4">
        <f t="shared" si="0"/>
        <v>29.71026524414419</v>
      </c>
    </row>
    <row r="42" spans="2:8" s="2" customFormat="1" ht="12.75">
      <c r="B42" s="8">
        <f>SUM(B32:B41)</f>
        <v>180</v>
      </c>
      <c r="C42" s="9"/>
      <c r="F42" s="3">
        <f>SUM(F32:F41)</f>
        <v>8.359091586783464</v>
      </c>
      <c r="G42" s="3">
        <f>SUM(G32:G41)</f>
        <v>3.599999999999999</v>
      </c>
      <c r="H42" s="6"/>
    </row>
    <row r="43" ht="12.75">
      <c r="D43" s="9"/>
    </row>
    <row r="44" ht="12.75">
      <c r="A44" s="6" t="s">
        <v>71</v>
      </c>
    </row>
  </sheetData>
  <sheetProtection/>
  <mergeCells count="6">
    <mergeCell ref="J30:J31"/>
    <mergeCell ref="A29:K29"/>
    <mergeCell ref="A3:C3"/>
    <mergeCell ref="A14:C14"/>
    <mergeCell ref="A22:C22"/>
    <mergeCell ref="E30:E31"/>
  </mergeCells>
  <printOptions/>
  <pageMargins left="0.22" right="0.22" top="0.26" bottom="1" header="0.2" footer="0.21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1720117</dc:creator>
  <cp:keywords/>
  <dc:description/>
  <cp:lastModifiedBy>1720117</cp:lastModifiedBy>
  <cp:lastPrinted>2015-12-16T18:42:55Z</cp:lastPrinted>
  <dcterms:created xsi:type="dcterms:W3CDTF">2015-12-08T09:20:34Z</dcterms:created>
  <dcterms:modified xsi:type="dcterms:W3CDTF">2015-12-16T18:47:27Z</dcterms:modified>
  <cp:category/>
  <cp:version/>
  <cp:contentType/>
  <cp:contentStatus/>
</cp:coreProperties>
</file>