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2504" windowHeight="7056" activeTab="1"/>
  </bookViews>
  <sheets>
    <sheet name="Exercício" sheetId="3" r:id="rId1"/>
    <sheet name="Planilha" sheetId="1" r:id="rId2"/>
    <sheet name="Gráfico" sheetId="5" r:id="rId3"/>
  </sheets>
  <definedNames>
    <definedName name="_xlnm.Print_Area" localSheetId="0">Exercício!$A$1:$O$39</definedName>
    <definedName name="_xlnm.Print_Area" localSheetId="1">Planilha!$A$1:$T$62</definedName>
  </definedNames>
  <calcPr calcId="114210"/>
</workbook>
</file>

<file path=xl/calcChain.xml><?xml version="1.0" encoding="utf-8"?>
<calcChain xmlns="http://schemas.openxmlformats.org/spreadsheetml/2006/main">
  <c r="L11" i="1"/>
  <c r="B29"/>
  <c r="O31"/>
  <c r="L61"/>
  <c r="L57"/>
  <c r="B11"/>
  <c r="L32"/>
  <c r="P32"/>
  <c r="L33"/>
  <c r="P33"/>
  <c r="L34"/>
  <c r="P34"/>
  <c r="L35"/>
  <c r="P35"/>
  <c r="L36"/>
  <c r="P36"/>
  <c r="L37"/>
  <c r="P37"/>
  <c r="L38"/>
  <c r="P38"/>
  <c r="L39"/>
  <c r="P39"/>
  <c r="L40"/>
  <c r="P40"/>
  <c r="L41"/>
  <c r="P41"/>
  <c r="L42"/>
  <c r="P42"/>
  <c r="L43"/>
  <c r="P43"/>
  <c r="L44"/>
  <c r="P44"/>
  <c r="L45"/>
  <c r="P45"/>
  <c r="L46"/>
  <c r="P46"/>
  <c r="L47"/>
  <c r="P47"/>
  <c r="L48"/>
  <c r="P48"/>
  <c r="L49"/>
  <c r="P49"/>
  <c r="L50"/>
  <c r="P50"/>
  <c r="L31"/>
  <c r="P31"/>
  <c r="B5"/>
  <c r="B15"/>
  <c r="B16"/>
  <c r="M31"/>
  <c r="M32"/>
  <c r="B23"/>
  <c r="G34"/>
  <c r="N32"/>
  <c r="O32"/>
  <c r="M33"/>
  <c r="N33"/>
  <c r="O33"/>
  <c r="M34"/>
  <c r="N34"/>
  <c r="O34"/>
  <c r="M35"/>
  <c r="N35"/>
  <c r="O35"/>
  <c r="M36"/>
  <c r="B24"/>
  <c r="G35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N31"/>
  <c r="L51"/>
  <c r="B28"/>
  <c r="C35"/>
  <c r="K7"/>
  <c r="B30"/>
  <c r="B31"/>
  <c r="C34"/>
  <c r="C36"/>
  <c r="J7"/>
  <c r="E35"/>
  <c r="L4"/>
  <c r="K4"/>
  <c r="E34"/>
  <c r="E36"/>
  <c r="J4"/>
  <c r="D41"/>
  <c r="D42"/>
  <c r="C42"/>
  <c r="E42"/>
  <c r="F42"/>
  <c r="D43"/>
  <c r="C43"/>
  <c r="E43"/>
  <c r="F43"/>
  <c r="D44"/>
  <c r="C44"/>
  <c r="E44"/>
  <c r="F44"/>
  <c r="D45"/>
  <c r="C45"/>
  <c r="E45"/>
  <c r="F45"/>
  <c r="D46"/>
  <c r="C46"/>
  <c r="E46"/>
  <c r="F46"/>
  <c r="D47"/>
  <c r="C47"/>
  <c r="E47"/>
  <c r="F47"/>
  <c r="D48"/>
  <c r="C48"/>
  <c r="E48"/>
  <c r="F48"/>
  <c r="D49"/>
  <c r="C49"/>
  <c r="E49"/>
  <c r="F49"/>
  <c r="D50"/>
  <c r="C50"/>
  <c r="E50"/>
  <c r="F50"/>
  <c r="D51"/>
  <c r="C51"/>
  <c r="E51"/>
  <c r="F51"/>
  <c r="D52"/>
  <c r="C52"/>
  <c r="E52"/>
  <c r="F52"/>
  <c r="D53"/>
  <c r="C53"/>
  <c r="E53"/>
  <c r="F53"/>
  <c r="D54"/>
  <c r="C54"/>
  <c r="E54"/>
  <c r="F54"/>
  <c r="D55"/>
  <c r="C55"/>
  <c r="E55"/>
  <c r="F55"/>
  <c r="D56"/>
  <c r="C56"/>
  <c r="E56"/>
  <c r="F56"/>
  <c r="D57"/>
  <c r="C57"/>
  <c r="E57"/>
  <c r="F57"/>
  <c r="D58"/>
  <c r="C58"/>
  <c r="E58"/>
  <c r="F58"/>
  <c r="D59"/>
  <c r="C59"/>
  <c r="E59"/>
  <c r="F59"/>
  <c r="D60"/>
  <c r="C60"/>
  <c r="E60"/>
  <c r="F60"/>
  <c r="C41"/>
  <c r="E41"/>
  <c r="F41"/>
  <c r="D35"/>
  <c r="D34"/>
  <c r="B35"/>
  <c r="B34"/>
  <c r="B18"/>
  <c r="B17"/>
  <c r="B19"/>
  <c r="B20"/>
  <c r="B26"/>
  <c r="A42"/>
  <c r="L24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P51"/>
  <c r="B27"/>
  <c r="C61"/>
  <c r="B42"/>
  <c r="A43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B43"/>
  <c r="A44"/>
  <c r="K11"/>
  <c r="J11"/>
  <c r="O51"/>
  <c r="B44"/>
  <c r="A45"/>
  <c r="J14"/>
  <c r="B45"/>
  <c r="A46"/>
  <c r="K28"/>
  <c r="Q31"/>
  <c r="R31"/>
  <c r="Q32"/>
  <c r="B46"/>
  <c r="A47"/>
  <c r="B47"/>
  <c r="A48"/>
  <c r="R32"/>
  <c r="Q33"/>
  <c r="R33"/>
  <c r="Q34"/>
  <c r="B48"/>
  <c r="A49"/>
  <c r="B49"/>
  <c r="A50"/>
  <c r="R34"/>
  <c r="Q35"/>
  <c r="R35"/>
  <c r="Q36"/>
  <c r="B50"/>
  <c r="A51"/>
  <c r="B51"/>
  <c r="A52"/>
  <c r="R36"/>
  <c r="Q37"/>
  <c r="R37"/>
  <c r="Q38"/>
  <c r="B52"/>
  <c r="A53"/>
  <c r="B53"/>
  <c r="A54"/>
  <c r="R38"/>
  <c r="Q39"/>
  <c r="R39"/>
  <c r="Q40"/>
  <c r="B54"/>
  <c r="A55"/>
  <c r="B55"/>
  <c r="A56"/>
  <c r="R40"/>
  <c r="Q41"/>
  <c r="R41"/>
  <c r="Q42"/>
  <c r="B56"/>
  <c r="A57"/>
  <c r="B57"/>
  <c r="A58"/>
  <c r="R42"/>
  <c r="Q43"/>
  <c r="R43"/>
  <c r="Q44"/>
  <c r="B58"/>
  <c r="A59"/>
  <c r="B59"/>
  <c r="A60"/>
  <c r="R44"/>
  <c r="Q45"/>
  <c r="R45"/>
  <c r="Q46"/>
  <c r="F62"/>
  <c r="B60"/>
  <c r="R46"/>
  <c r="Q47"/>
  <c r="R47"/>
  <c r="Q48"/>
  <c r="Q49"/>
  <c r="R48"/>
  <c r="R49"/>
  <c r="Q50"/>
  <c r="R50"/>
</calcChain>
</file>

<file path=xl/sharedStrings.xml><?xml version="1.0" encoding="utf-8"?>
<sst xmlns="http://schemas.openxmlformats.org/spreadsheetml/2006/main" count="117" uniqueCount="108">
  <si>
    <t>L2</t>
  </si>
  <si>
    <t>Trecho</t>
  </si>
  <si>
    <t>L</t>
  </si>
  <si>
    <t>Q (m3/s)</t>
  </si>
  <si>
    <t>D (m)</t>
  </si>
  <si>
    <t>Hf (mca)</t>
  </si>
  <si>
    <t>Hf Real (L, D1)</t>
  </si>
  <si>
    <t>Hf Real (L2, D1)</t>
  </si>
  <si>
    <t>N</t>
  </si>
  <si>
    <t>D1</t>
  </si>
  <si>
    <t>D2</t>
  </si>
  <si>
    <t>HF Real observada &lt; HF Real Tolerada (8,0 mca)</t>
  </si>
  <si>
    <t>Linha está bem dimensionada</t>
  </si>
  <si>
    <t>Hf Real da LL</t>
  </si>
  <si>
    <t>Desnível</t>
  </si>
  <si>
    <t>Pini LL</t>
  </si>
  <si>
    <t>P.S</t>
  </si>
  <si>
    <t>AA</t>
  </si>
  <si>
    <t>% de L</t>
  </si>
  <si>
    <t>HF acumulada até o ponto onde ocorre P.S.</t>
  </si>
  <si>
    <t>Isso é HF média!</t>
  </si>
  <si>
    <t>Método Trecho a Trecho</t>
  </si>
  <si>
    <t>Dados de Entrada</t>
  </si>
  <si>
    <t>Variável</t>
  </si>
  <si>
    <t>valor</t>
  </si>
  <si>
    <t>Sigla</t>
  </si>
  <si>
    <t>Vazão do Aspersor (m3/s)</t>
  </si>
  <si>
    <t>qA</t>
  </si>
  <si>
    <t>Coeficiente de Rugosidade</t>
  </si>
  <si>
    <t>C</t>
  </si>
  <si>
    <t>Para Aço Zincado</t>
  </si>
  <si>
    <t>Comprimento da Lateral (m)</t>
  </si>
  <si>
    <t>Espaçamento entre Aspersores na LL (m)</t>
  </si>
  <si>
    <t>Se</t>
  </si>
  <si>
    <t>Pressão de Serviço (mca)</t>
  </si>
  <si>
    <t xml:space="preserve">PS </t>
  </si>
  <si>
    <t>1° Aspersor a um espaçamento inteiro</t>
  </si>
  <si>
    <t>Altura de Subida do Aspersor (m)</t>
  </si>
  <si>
    <t>i</t>
  </si>
  <si>
    <t>Cálculos Intermediários</t>
  </si>
  <si>
    <t>N° de Aspersores</t>
  </si>
  <si>
    <t>Vazão da LL (m3/s)</t>
  </si>
  <si>
    <t>QLL</t>
  </si>
  <si>
    <t>Fator F de Christiansen</t>
  </si>
  <si>
    <t>F</t>
  </si>
  <si>
    <t>Perda de Carga Real Tolerada (mca)</t>
  </si>
  <si>
    <t>Hf real tol</t>
  </si>
  <si>
    <t>Perda de Carga Contínua Tolerada (mca)</t>
  </si>
  <si>
    <t>Hf cont tol</t>
  </si>
  <si>
    <t>Resultados</t>
  </si>
  <si>
    <t>Dimensionamento de Laterais com Dois Diâmetros</t>
  </si>
  <si>
    <t>Desnível unitário (m/m) - ACLIVE</t>
  </si>
  <si>
    <t>Linha em Aclive</t>
  </si>
  <si>
    <t>Diâmetro comercial superior (m)</t>
  </si>
  <si>
    <t>Diâmetro comercial inferior (m)</t>
  </si>
  <si>
    <t>Diâmetro teórico calculado (m)</t>
  </si>
  <si>
    <t>Dc</t>
  </si>
  <si>
    <t>Comprimento do trecho inicial (m)</t>
  </si>
  <si>
    <t>Comprimento do trecho final (m)</t>
  </si>
  <si>
    <t>Número de Aspersores no trecho inicial</t>
  </si>
  <si>
    <t>Número de Aspersores no trecho final</t>
  </si>
  <si>
    <t>Comprimento do trecho final AJUSTADO (m)</t>
  </si>
  <si>
    <t>Número de Aspersores no trecho final AJUSTADO</t>
  </si>
  <si>
    <t>N2</t>
  </si>
  <si>
    <t>N2 Ajustado</t>
  </si>
  <si>
    <t>L2 Ajustado</t>
  </si>
  <si>
    <t>Q Trecho (m3/s)</t>
  </si>
  <si>
    <t>Hf Trecho(mca)</t>
  </si>
  <si>
    <t>L trecho (m)</t>
  </si>
  <si>
    <t>Hf (L, D1)</t>
  </si>
  <si>
    <t>Hf (L2, D1)</t>
  </si>
  <si>
    <t>Hf (L2, D2)</t>
  </si>
  <si>
    <t>Cálculo da Hf da Vazão Real, observada</t>
  </si>
  <si>
    <t>Cálculo da Hf da Vazão Contínua, observada</t>
  </si>
  <si>
    <t>F (m, N = 20)</t>
  </si>
  <si>
    <t>F (m, N2 = 15)</t>
  </si>
  <si>
    <t xml:space="preserve">Determinação da Pressão Inicial e das Pressões na base de cada Aspersor em Lateral com 2 Diâmetros </t>
  </si>
  <si>
    <t>Hf média pela fórmula: 5/8 da Hf Real Observada</t>
  </si>
  <si>
    <t>Ver Método Simplificado</t>
  </si>
  <si>
    <t>L1 Ajustado</t>
  </si>
  <si>
    <t>Resumo</t>
  </si>
  <si>
    <t>N1 Ajustado</t>
  </si>
  <si>
    <t>Pressão no início do trecho (mca)</t>
  </si>
  <si>
    <t>Pressão no Aspersor (mca)</t>
  </si>
  <si>
    <t>Método simplificado de Determinação da Hf Real Observada</t>
  </si>
  <si>
    <t>Exercício</t>
  </si>
  <si>
    <t>Os diâmetros disponíveis em aço zincado no comércio local são de:</t>
  </si>
  <si>
    <t>50; 70; 89; 108; 133 e 159 mm.</t>
  </si>
  <si>
    <t>Considere o emprego de dois diâmetros no dimensionamento de uma Linha Lateral de aspersão convencional semi-fixa, em aço zincado, com</t>
  </si>
  <si>
    <t>360 m de comprimento, instalada em terreno com 2 m de aclive.</t>
  </si>
  <si>
    <t>Os aspersores são instalados em espaçamento 18 x 24 m e devem operar com pressão de serviço de 50 mca.</t>
  </si>
  <si>
    <t>A vazão de cada aspersor é de 0,77 L/s. O tubo de subida do aspersor tem 1,5 m de altura.</t>
  </si>
  <si>
    <t>O primeiro aspersor deve estar instalado a um espaçamento inteiro.</t>
  </si>
  <si>
    <t>Para fins de ajuste do comprimento de cada trecho (cada um com um diâmetro diferente), usar um número inteiro de aspersores por trecho.</t>
  </si>
  <si>
    <t>Pede-se:</t>
  </si>
  <si>
    <t>a) Encontrar o diâmetro teórico compatível com a condição topográfica da Lateral</t>
  </si>
  <si>
    <t>b) Selecionar os diâmetros comerciais a serem usados na Lateral</t>
  </si>
  <si>
    <t>d) Encontrar a Hf Real observada usando o método simplificado e o método trecho a trecho</t>
  </si>
  <si>
    <t>f) Prever a pressão da água na entrada de cada aspersor</t>
  </si>
  <si>
    <t>g) Fazer gráfico da variação de pressão nos aspersores ao longo da Lateral</t>
  </si>
  <si>
    <t>Hf L, D1 - HfL2, D1  = isso dá Hf L1, D1</t>
  </si>
  <si>
    <t>basta somar Hf L2, D2</t>
  </si>
  <si>
    <t>Quando se usa Hf cont x F:</t>
  </si>
  <si>
    <t>Lembrar que F é calculado em cima de Hf até o trecho que dá vazão nula...</t>
  </si>
  <si>
    <t xml:space="preserve">c) Definir os comprimentos de trecho para cada diâmetro usando a equação de Denículi et al. (1992) </t>
  </si>
  <si>
    <t>e) Determinar a Pressão necessária no início da Lateral, sabendo-se que a Hf média vale 5/8 da Hf de toda a linha</t>
  </si>
  <si>
    <t>O coeficiente de rugosidade de Hazen-Williams para aço zincado é 120.</t>
  </si>
  <si>
    <t>Hf Real (L2, D2)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</si>
</sst>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00000"/>
    <numFmt numFmtId="167" formatCode="0.000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30"/>
      <color indexed="8"/>
      <name val="Arial"/>
      <family val="2"/>
    </font>
    <font>
      <b/>
      <sz val="10"/>
      <color indexed="12"/>
      <name val="Arial"/>
      <family val="2"/>
    </font>
    <font>
      <b/>
      <sz val="3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9" fontId="4" fillId="2" borderId="1" xfId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4" fillId="2" borderId="0" xfId="0" applyFont="1" applyFill="1" applyAlignment="1"/>
    <xf numFmtId="167" fontId="4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left"/>
    </xf>
    <xf numFmtId="0" fontId="7" fillId="2" borderId="0" xfId="0" applyFont="1" applyFill="1"/>
    <xf numFmtId="0" fontId="3" fillId="2" borderId="0" xfId="0" applyFont="1" applyFill="1" applyBorder="1"/>
    <xf numFmtId="0" fontId="5" fillId="2" borderId="0" xfId="0" applyFont="1" applyFill="1"/>
    <xf numFmtId="0" fontId="8" fillId="2" borderId="0" xfId="0" applyFont="1" applyFill="1"/>
    <xf numFmtId="0" fontId="10" fillId="2" borderId="0" xfId="0" applyFont="1" applyFill="1" applyBorder="1"/>
    <xf numFmtId="165" fontId="4" fillId="8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Dimensionamento de Lateral com Dois Diâmetros</a:t>
            </a:r>
          </a:p>
        </c:rich>
      </c:tx>
      <c:layout>
        <c:manualLayout>
          <c:xMode val="edge"/>
          <c:yMode val="edge"/>
          <c:x val="0.15312497947764869"/>
          <c:y val="2.02360431297439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083333333333434E-2"/>
          <c:y val="0.14333895446880271"/>
          <c:w val="0.91249999999999998"/>
          <c:h val="0.72344013490725079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Planilha!$K$31:$K$50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Planilha!$R$31:$R$50</c:f>
              <c:numCache>
                <c:formatCode>0.00</c:formatCode>
                <c:ptCount val="20"/>
                <c:pt idx="0">
                  <c:v>55.147524708521431</c:v>
                </c:pt>
                <c:pt idx="1">
                  <c:v>54.496881758334233</c:v>
                </c:pt>
                <c:pt idx="2">
                  <c:v>53.898705422672052</c:v>
                </c:pt>
                <c:pt idx="3">
                  <c:v>53.350569439782419</c:v>
                </c:pt>
                <c:pt idx="4">
                  <c:v>52.850026923056497</c:v>
                </c:pt>
                <c:pt idx="5">
                  <c:v>51.838050138388454</c:v>
                </c:pt>
                <c:pt idx="6">
                  <c:v>50.935463558939439</c:v>
                </c:pt>
                <c:pt idx="7">
                  <c:v>50.135805469596576</c:v>
                </c:pt>
                <c:pt idx="8">
                  <c:v>49.432542817620231</c:v>
                </c:pt>
                <c:pt idx="9">
                  <c:v>48.819064600980902</c:v>
                </c:pt>
                <c:pt idx="10">
                  <c:v>48.288674007150206</c:v>
                </c:pt>
                <c:pt idx="11">
                  <c:v>47.834578922020548</c:v>
                </c:pt>
                <c:pt idx="12">
                  <c:v>47.449880259307896</c:v>
                </c:pt>
                <c:pt idx="13">
                  <c:v>47.127557286309951</c:v>
                </c:pt>
                <c:pt idx="14">
                  <c:v>46.860448653147806</c:v>
                </c:pt>
                <c:pt idx="15">
                  <c:v>46.641226978102502</c:v>
                </c:pt>
                <c:pt idx="16">
                  <c:v>46.462363146182625</c:v>
                </c:pt>
                <c:pt idx="17">
                  <c:v>46.316072703394838</c:v>
                </c:pt>
                <c:pt idx="18">
                  <c:v>46.194226784183883</c:v>
                </c:pt>
                <c:pt idx="19">
                  <c:v>46.08817528789524</c:v>
                </c:pt>
              </c:numCache>
            </c:numRef>
          </c:val>
        </c:ser>
        <c:axId val="65604608"/>
        <c:axId val="65623168"/>
      </c:barChart>
      <c:catAx>
        <c:axId val="65604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N° do Aspersor</a:t>
                </a:r>
              </a:p>
            </c:rich>
          </c:tx>
          <c:layout>
            <c:manualLayout>
              <c:xMode val="edge"/>
              <c:yMode val="edge"/>
              <c:x val="0.48541665298509912"/>
              <c:y val="0.942760871107327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5623168"/>
        <c:crosses val="autoZero"/>
        <c:auto val="1"/>
        <c:lblAlgn val="ctr"/>
        <c:lblOffset val="100"/>
        <c:tickLblSkip val="1"/>
        <c:tickMarkSkip val="1"/>
      </c:catAx>
      <c:valAx>
        <c:axId val="6562316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Pressão na entrada do Aspersor (mca)</a:t>
                </a:r>
              </a:p>
            </c:rich>
          </c:tx>
          <c:layout>
            <c:manualLayout>
              <c:xMode val="edge"/>
              <c:yMode val="edge"/>
              <c:x val="1.1458367537252172E-2"/>
              <c:y val="0.2575759026743278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560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78740157499999996" right="0.78740157499999996" top="0.984251969" bottom="0.984251969" header="0.49212598499999999" footer="0.49212598499999999"/>
  <headerFooter alignWithMargins="0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594360</xdr:colOff>
      <xdr:row>56</xdr:row>
      <xdr:rowOff>45720</xdr:rowOff>
    </xdr:from>
    <xdr:to>
      <xdr:col>10</xdr:col>
      <xdr:colOff>381000</xdr:colOff>
      <xdr:row>61</xdr:row>
      <xdr:rowOff>30480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11468100" y="10088880"/>
          <a:ext cx="1028700" cy="822960"/>
        </a:xfrm>
        <a:prstGeom prst="curvedRightArrow">
          <a:avLst>
            <a:gd name="adj1" fmla="val 20000"/>
            <a:gd name="adj2" fmla="val 40000"/>
            <a:gd name="adj3" fmla="val 41667"/>
          </a:avLst>
        </a:prstGeom>
        <a:solidFill>
          <a:srgbClr val="000000"/>
        </a:solidFill>
        <a:ln w="1524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769620</xdr:colOff>
      <xdr:row>23</xdr:row>
      <xdr:rowOff>76200</xdr:rowOff>
    </xdr:from>
    <xdr:to>
      <xdr:col>17</xdr:col>
      <xdr:colOff>822960</xdr:colOff>
      <xdr:row>37</xdr:row>
      <xdr:rowOff>106680</xdr:rowOff>
    </xdr:to>
    <xdr:sp macro="" textlink="">
      <xdr:nvSpPr>
        <xdr:cNvPr id="2050" name="Line 3"/>
        <xdr:cNvSpPr>
          <a:spLocks noChangeShapeType="1"/>
        </xdr:cNvSpPr>
      </xdr:nvSpPr>
      <xdr:spPr bwMode="auto">
        <a:xfrm>
          <a:off x="12885420" y="4556760"/>
          <a:ext cx="8557260" cy="2377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3880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view="pageBreakPreview" zoomScaleNormal="100" workbookViewId="0">
      <selection activeCell="G35" sqref="G35"/>
    </sheetView>
  </sheetViews>
  <sheetFormatPr defaultColWidth="9.109375" defaultRowHeight="13.8"/>
  <cols>
    <col min="1" max="16384" width="9.109375" style="36"/>
  </cols>
  <sheetData>
    <row r="1" spans="1:1" ht="37.799999999999997">
      <c r="A1" s="35" t="s">
        <v>85</v>
      </c>
    </row>
    <row r="3" spans="1:1">
      <c r="A3" s="34" t="s">
        <v>88</v>
      </c>
    </row>
    <row r="4" spans="1:1" s="34" customFormat="1" ht="13.2">
      <c r="A4" s="34" t="s">
        <v>89</v>
      </c>
    </row>
    <row r="5" spans="1:1" s="34" customFormat="1" ht="13.2">
      <c r="A5" s="34" t="s">
        <v>90</v>
      </c>
    </row>
    <row r="6" spans="1:1" s="34" customFormat="1" ht="13.2">
      <c r="A6" s="34" t="s">
        <v>91</v>
      </c>
    </row>
    <row r="7" spans="1:1" s="34" customFormat="1" ht="13.2">
      <c r="A7" s="34" t="s">
        <v>92</v>
      </c>
    </row>
    <row r="8" spans="1:1" s="34" customFormat="1" ht="13.2">
      <c r="A8" s="34" t="s">
        <v>86</v>
      </c>
    </row>
    <row r="9" spans="1:1" s="34" customFormat="1" ht="13.2">
      <c r="A9" s="34" t="s">
        <v>87</v>
      </c>
    </row>
    <row r="10" spans="1:1" s="34" customFormat="1" ht="13.2">
      <c r="A10" s="34" t="s">
        <v>93</v>
      </c>
    </row>
    <row r="11" spans="1:1" s="34" customFormat="1" ht="13.2"/>
    <row r="12" spans="1:1" s="34" customFormat="1" ht="13.2">
      <c r="A12" s="34" t="s">
        <v>94</v>
      </c>
    </row>
    <row r="13" spans="1:1" s="34" customFormat="1" ht="13.2">
      <c r="A13" s="34" t="s">
        <v>95</v>
      </c>
    </row>
    <row r="14" spans="1:1" s="34" customFormat="1" ht="13.2">
      <c r="A14" s="34" t="s">
        <v>96</v>
      </c>
    </row>
    <row r="15" spans="1:1" s="34" customFormat="1" ht="13.2">
      <c r="A15" s="34" t="s">
        <v>104</v>
      </c>
    </row>
    <row r="16" spans="1:1" s="34" customFormat="1" ht="13.2">
      <c r="A16" s="34" t="s">
        <v>97</v>
      </c>
    </row>
    <row r="17" spans="1:4" s="34" customFormat="1" ht="13.2">
      <c r="A17" s="34" t="s">
        <v>105</v>
      </c>
    </row>
    <row r="18" spans="1:4" s="34" customFormat="1" ht="13.2">
      <c r="A18" s="34" t="s">
        <v>98</v>
      </c>
    </row>
    <row r="19" spans="1:4" s="34" customFormat="1" ht="13.2">
      <c r="A19" s="34" t="s">
        <v>99</v>
      </c>
    </row>
    <row r="20" spans="1:4" s="34" customFormat="1" ht="13.2"/>
    <row r="21" spans="1:4" s="34" customFormat="1" ht="13.2">
      <c r="D21" s="37"/>
    </row>
    <row r="22" spans="1:4" s="34" customFormat="1" ht="13.2">
      <c r="A22" s="34" t="s">
        <v>106</v>
      </c>
    </row>
    <row r="23" spans="1:4" s="34" customFormat="1" ht="13.2"/>
    <row r="24" spans="1:4" s="34" customFormat="1" ht="13.2"/>
    <row r="25" spans="1:4" s="34" customFormat="1" ht="13.2"/>
    <row r="26" spans="1:4" s="34" customFormat="1" ht="13.2"/>
    <row r="27" spans="1:4" s="34" customFormat="1" ht="13.2"/>
    <row r="28" spans="1:4" s="34" customFormat="1" ht="13.2"/>
    <row r="29" spans="1:4" s="34" customFormat="1" ht="13.2"/>
    <row r="30" spans="1:4" s="34" customFormat="1" ht="13.2"/>
    <row r="31" spans="1:4" s="34" customFormat="1" ht="13.2"/>
    <row r="32" spans="1:4" s="34" customFormat="1" ht="13.2"/>
    <row r="33" s="34" customFormat="1" ht="13.2"/>
    <row r="34" s="34" customFormat="1" ht="13.2"/>
    <row r="35" s="34" customFormat="1" ht="13.2"/>
    <row r="36" s="34" customFormat="1" ht="13.2"/>
    <row r="37" s="34" customFormat="1" ht="13.2"/>
    <row r="38" s="34" customFormat="1" ht="13.2"/>
    <row r="39" s="34" customFormat="1" ht="13.2"/>
    <row r="40" s="34" customFormat="1" ht="13.2"/>
    <row r="41" s="34" customFormat="1" ht="13.2"/>
    <row r="42" s="34" customFormat="1" ht="13.2"/>
    <row r="43" s="34" customFormat="1" ht="13.2"/>
    <row r="44" s="34" customFormat="1" ht="13.2"/>
    <row r="45" s="34" customFormat="1" ht="13.2"/>
    <row r="46" s="34" customFormat="1" ht="13.2"/>
    <row r="47" s="34" customFormat="1" ht="13.2"/>
    <row r="48" s="34" customFormat="1" ht="13.2"/>
    <row r="49" s="34" customFormat="1" ht="13.2"/>
    <row r="50" s="34" customFormat="1" ht="13.2"/>
  </sheetData>
  <phoneticPr fontId="2" type="noConversion"/>
  <pageMargins left="0.23" right="0.18" top="0.34" bottom="0.78740157499999996" header="0.18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tabSelected="1" topLeftCell="H1" zoomScale="80" zoomScaleNormal="80" zoomScaleSheetLayoutView="80" workbookViewId="0">
      <selection activeCell="P5" sqref="P5"/>
    </sheetView>
  </sheetViews>
  <sheetFormatPr defaultColWidth="9.109375" defaultRowHeight="14.4"/>
  <cols>
    <col min="1" max="1" width="47.44140625" style="1" customWidth="1"/>
    <col min="2" max="2" width="19.109375" style="1" customWidth="1"/>
    <col min="3" max="3" width="19.6640625" style="1" customWidth="1"/>
    <col min="4" max="4" width="19.5546875" style="1" customWidth="1"/>
    <col min="5" max="5" width="9.6640625" style="1" customWidth="1"/>
    <col min="6" max="6" width="17.6640625" style="1" customWidth="1"/>
    <col min="7" max="7" width="11.44140625" style="1" bestFit="1" customWidth="1"/>
    <col min="8" max="8" width="7.44140625" style="1" customWidth="1"/>
    <col min="9" max="9" width="6.5546875" style="1" customWidth="1"/>
    <col min="10" max="10" width="18.109375" style="1" customWidth="1"/>
    <col min="11" max="11" width="18.44140625" style="1" customWidth="1"/>
    <col min="12" max="12" width="19.44140625" style="1" customWidth="1"/>
    <col min="13" max="13" width="13" style="1" customWidth="1"/>
    <col min="14" max="14" width="9.33203125" style="1" bestFit="1" customWidth="1"/>
    <col min="15" max="15" width="13.88671875" style="1" customWidth="1"/>
    <col min="16" max="16" width="12.5546875" style="1" bestFit="1" customWidth="1"/>
    <col min="17" max="17" width="37.33203125" style="1" customWidth="1"/>
    <col min="18" max="18" width="31.109375" style="2" customWidth="1"/>
    <col min="19" max="19" width="9.6640625" style="1" bestFit="1" customWidth="1"/>
    <col min="20" max="16384" width="9.109375" style="1"/>
  </cols>
  <sheetData>
    <row r="1" spans="1:19" s="3" customFormat="1" ht="37.799999999999997">
      <c r="A1" s="33" t="s">
        <v>50</v>
      </c>
      <c r="J1" s="26" t="s">
        <v>84</v>
      </c>
      <c r="K1" s="14"/>
      <c r="R1" s="14"/>
      <c r="S1" s="14"/>
    </row>
    <row r="2" spans="1:19" s="3" customFormat="1" ht="13.2">
      <c r="J2" s="15" t="s">
        <v>73</v>
      </c>
      <c r="K2" s="14"/>
      <c r="R2" s="14"/>
      <c r="S2" s="14"/>
    </row>
    <row r="3" spans="1:19" s="3" customFormat="1" ht="13.2">
      <c r="A3" s="41" t="s">
        <v>22</v>
      </c>
      <c r="B3" s="41"/>
      <c r="C3" s="41"/>
      <c r="J3" s="13" t="s">
        <v>69</v>
      </c>
      <c r="K3" s="13" t="s">
        <v>70</v>
      </c>
      <c r="L3" s="13" t="s">
        <v>71</v>
      </c>
      <c r="S3" s="14"/>
    </row>
    <row r="4" spans="1:19" s="3" customFormat="1" ht="13.2">
      <c r="A4" s="4" t="s">
        <v>23</v>
      </c>
      <c r="B4" s="4" t="s">
        <v>24</v>
      </c>
      <c r="C4" s="4" t="s">
        <v>25</v>
      </c>
      <c r="J4" s="16">
        <f>10.641*(B5*C36/$B$6)^1.852*E36/(G34^4.87)</f>
        <v>12.110329566395073</v>
      </c>
      <c r="K4" s="16">
        <f>10.641*(B5*C35/$B$6)^1.852*E35/(G34^4.87)</f>
        <v>5.3312700919478724</v>
      </c>
      <c r="L4" s="16">
        <f>10.641*(B5*C35/$B$6)^1.852*E35/(G35^4.87)</f>
        <v>13.679651770020591</v>
      </c>
      <c r="S4" s="14"/>
    </row>
    <row r="5" spans="1:19" s="3" customFormat="1" ht="13.2">
      <c r="A5" s="5" t="s">
        <v>26</v>
      </c>
      <c r="B5" s="6">
        <f>0.77/1000</f>
        <v>7.7000000000000007E-4</v>
      </c>
      <c r="C5" s="5" t="s">
        <v>27</v>
      </c>
      <c r="J5" s="15"/>
      <c r="K5" s="14"/>
      <c r="L5" s="14"/>
      <c r="S5" s="14"/>
    </row>
    <row r="6" spans="1:19" s="3" customFormat="1" ht="13.2">
      <c r="A6" s="5" t="s">
        <v>28</v>
      </c>
      <c r="B6" s="5">
        <v>120</v>
      </c>
      <c r="C6" s="5" t="s">
        <v>29</v>
      </c>
      <c r="D6" s="3" t="s">
        <v>30</v>
      </c>
      <c r="J6" s="13" t="s">
        <v>74</v>
      </c>
      <c r="K6" s="13" t="s">
        <v>75</v>
      </c>
      <c r="L6" s="14"/>
      <c r="S6" s="14"/>
    </row>
    <row r="7" spans="1:19" s="3" customFormat="1" ht="13.2">
      <c r="A7" s="5" t="s">
        <v>31</v>
      </c>
      <c r="B7" s="5">
        <v>360</v>
      </c>
      <c r="C7" s="5" t="s">
        <v>2</v>
      </c>
      <c r="J7" s="21">
        <f>1/(1.852+1)+1/2/C36+1/6/C36/C36*(0.852^0.5)</f>
        <v>0.37601573540352123</v>
      </c>
      <c r="K7" s="21">
        <f>1/(1.852+1)+1/2/C35+1/6/C35/C35*(0.852^0.5)</f>
        <v>0.38464820157135265</v>
      </c>
      <c r="L7" s="14"/>
      <c r="S7" s="14"/>
    </row>
    <row r="8" spans="1:19" s="3" customFormat="1" ht="13.2">
      <c r="A8" s="5" t="s">
        <v>32</v>
      </c>
      <c r="B8" s="5">
        <v>18</v>
      </c>
      <c r="C8" s="5" t="s">
        <v>33</v>
      </c>
      <c r="J8" s="32"/>
      <c r="K8" s="27"/>
      <c r="L8" s="14"/>
      <c r="S8" s="14"/>
    </row>
    <row r="9" spans="1:19" s="3" customFormat="1" ht="13.2">
      <c r="A9" s="5" t="s">
        <v>34</v>
      </c>
      <c r="B9" s="5">
        <v>50</v>
      </c>
      <c r="C9" s="5" t="s">
        <v>35</v>
      </c>
      <c r="J9" s="15" t="s">
        <v>72</v>
      </c>
      <c r="K9" s="14"/>
      <c r="L9" s="14"/>
      <c r="S9" s="14"/>
    </row>
    <row r="10" spans="1:19" s="3" customFormat="1" ht="13.2">
      <c r="A10" s="5" t="s">
        <v>37</v>
      </c>
      <c r="B10" s="5">
        <v>1.5</v>
      </c>
      <c r="C10" s="5" t="s">
        <v>17</v>
      </c>
      <c r="J10" s="13" t="s">
        <v>6</v>
      </c>
      <c r="K10" s="13" t="s">
        <v>7</v>
      </c>
      <c r="L10" s="13" t="s">
        <v>107</v>
      </c>
      <c r="S10" s="14"/>
    </row>
    <row r="11" spans="1:19" s="3" customFormat="1" ht="13.2">
      <c r="A11" s="5" t="s">
        <v>51</v>
      </c>
      <c r="B11" s="12">
        <f>2/360</f>
        <v>5.5555555555555558E-3</v>
      </c>
      <c r="C11" s="5" t="s">
        <v>38</v>
      </c>
      <c r="D11" s="3" t="s">
        <v>52</v>
      </c>
      <c r="J11" s="16">
        <f>J4*J7</f>
        <v>4.5536744778870499</v>
      </c>
      <c r="K11" s="16">
        <f>K4*K7</f>
        <v>2.0506634529588892</v>
      </c>
      <c r="L11" s="16">
        <f>L4*K7</f>
        <v>5.2618534514607918</v>
      </c>
      <c r="S11" s="14"/>
    </row>
    <row r="12" spans="1:19" s="3" customFormat="1" ht="13.2">
      <c r="A12" s="48" t="s">
        <v>36</v>
      </c>
      <c r="B12" s="49"/>
      <c r="C12" s="50"/>
      <c r="J12" s="15"/>
      <c r="K12" s="14"/>
      <c r="R12" s="14"/>
      <c r="S12" s="14"/>
    </row>
    <row r="13" spans="1:19" s="3" customFormat="1" ht="13.2">
      <c r="J13" s="24" t="s">
        <v>13</v>
      </c>
      <c r="K13" s="15" t="s">
        <v>11</v>
      </c>
      <c r="R13" s="14"/>
      <c r="S13" s="14"/>
    </row>
    <row r="14" spans="1:19" s="3" customFormat="1" ht="13.2">
      <c r="A14" s="42" t="s">
        <v>39</v>
      </c>
      <c r="B14" s="43"/>
      <c r="C14" s="44"/>
      <c r="J14" s="25">
        <f>J11-K11+L11</f>
        <v>7.7648644763889525</v>
      </c>
      <c r="K14" s="15" t="s">
        <v>12</v>
      </c>
      <c r="R14" s="14"/>
      <c r="S14" s="14"/>
    </row>
    <row r="15" spans="1:19" s="3" customFormat="1" ht="13.2">
      <c r="A15" s="5" t="s">
        <v>40</v>
      </c>
      <c r="B15" s="5">
        <f>B7/B8</f>
        <v>20</v>
      </c>
      <c r="C15" s="5" t="s">
        <v>8</v>
      </c>
      <c r="P15" s="14"/>
      <c r="Q15" s="14"/>
      <c r="R15" s="14"/>
      <c r="S15" s="14"/>
    </row>
    <row r="16" spans="1:19" s="3" customFormat="1" ht="13.2">
      <c r="A16" s="5" t="s">
        <v>41</v>
      </c>
      <c r="B16" s="6">
        <f>B5*B15</f>
        <v>1.54E-2</v>
      </c>
      <c r="C16" s="5" t="s">
        <v>42</v>
      </c>
    </row>
    <row r="17" spans="1:20" s="3" customFormat="1" ht="13.2">
      <c r="A17" s="5" t="s">
        <v>43</v>
      </c>
      <c r="B17" s="7">
        <f>1/(1+1.852)+1/2/B15+1/6/B15/B15*(1.852-1)^0.5</f>
        <v>0.37601573540352123</v>
      </c>
      <c r="C17" s="5" t="s">
        <v>44</v>
      </c>
    </row>
    <row r="18" spans="1:20" s="3" customFormat="1" ht="13.2">
      <c r="A18" s="5" t="s">
        <v>45</v>
      </c>
      <c r="B18" s="8">
        <f>0.2*B9-B11*B7</f>
        <v>8</v>
      </c>
      <c r="C18" s="5" t="s">
        <v>46</v>
      </c>
    </row>
    <row r="19" spans="1:20" s="3" customFormat="1" ht="13.2">
      <c r="A19" s="5" t="s">
        <v>47</v>
      </c>
      <c r="B19" s="9">
        <f>B18/B17</f>
        <v>21.275705367528836</v>
      </c>
      <c r="C19" s="5" t="s">
        <v>48</v>
      </c>
    </row>
    <row r="20" spans="1:20" s="3" customFormat="1" ht="13.2">
      <c r="A20" s="5" t="s">
        <v>55</v>
      </c>
      <c r="B20" s="7">
        <f>((10.641*(B16/B6)^1.852*B7)/B19)^(1/4.87)</f>
        <v>9.6199230544498776E-2</v>
      </c>
      <c r="C20" s="5" t="s">
        <v>56</v>
      </c>
    </row>
    <row r="21" spans="1:20" s="3" customFormat="1" ht="13.2">
      <c r="A21" s="10"/>
      <c r="B21" s="11"/>
      <c r="C21" s="10"/>
    </row>
    <row r="22" spans="1:20" s="3" customFormat="1" ht="37.799999999999997">
      <c r="A22" s="45" t="s">
        <v>49</v>
      </c>
      <c r="B22" s="46"/>
      <c r="C22" s="47"/>
      <c r="J22" s="33" t="s">
        <v>76</v>
      </c>
    </row>
    <row r="23" spans="1:20" s="3" customFormat="1" ht="13.2">
      <c r="A23" s="5" t="s">
        <v>53</v>
      </c>
      <c r="B23" s="9">
        <f>108/1000</f>
        <v>0.108</v>
      </c>
      <c r="C23" s="5" t="s">
        <v>9</v>
      </c>
      <c r="J23" s="14"/>
      <c r="K23" s="13" t="s">
        <v>16</v>
      </c>
      <c r="L23" s="13" t="s">
        <v>17</v>
      </c>
      <c r="M23" s="14"/>
      <c r="N23" s="14"/>
      <c r="O23" s="14"/>
      <c r="P23" s="14"/>
      <c r="Q23" s="14"/>
      <c r="R23" s="14"/>
      <c r="S23" s="14"/>
    </row>
    <row r="24" spans="1:20" s="3" customFormat="1" ht="13.2">
      <c r="A24" s="5" t="s">
        <v>54</v>
      </c>
      <c r="B24" s="9">
        <f>89/1000</f>
        <v>8.8999999999999996E-2</v>
      </c>
      <c r="C24" s="5" t="s">
        <v>10</v>
      </c>
      <c r="J24" s="14"/>
      <c r="K24" s="13">
        <v>50</v>
      </c>
      <c r="L24" s="13">
        <f>B10</f>
        <v>1.5</v>
      </c>
      <c r="M24" s="14"/>
      <c r="N24" s="14"/>
      <c r="O24" s="14"/>
      <c r="P24" s="14"/>
      <c r="Q24" s="14"/>
      <c r="R24" s="14"/>
      <c r="S24" s="14"/>
    </row>
    <row r="25" spans="1:20" s="3" customFormat="1" ht="13.2"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20" s="3" customFormat="1" ht="13.2">
      <c r="A26" s="5" t="s">
        <v>58</v>
      </c>
      <c r="B26" s="9">
        <f>(((B23/B20)^4.87-1)/((B23/B24)^4.87-1))^(1/2.852)*B7</f>
        <v>278.98518958544145</v>
      </c>
      <c r="C26" s="5" t="s">
        <v>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20" s="3" customFormat="1" ht="13.2">
      <c r="A27" s="5" t="s">
        <v>60</v>
      </c>
      <c r="B27" s="9">
        <f>B26/B8</f>
        <v>15.499177199191191</v>
      </c>
      <c r="C27" s="5" t="s">
        <v>63</v>
      </c>
      <c r="J27" s="14"/>
      <c r="K27" s="13" t="s">
        <v>15</v>
      </c>
      <c r="L27" s="14"/>
      <c r="M27" s="14"/>
      <c r="N27" s="14"/>
      <c r="O27" s="14"/>
      <c r="P27" s="14"/>
      <c r="Q27" s="14"/>
      <c r="R27" s="14"/>
      <c r="S27" s="14"/>
    </row>
    <row r="28" spans="1:20" s="3" customFormat="1" ht="13.2">
      <c r="A28" s="5" t="s">
        <v>62</v>
      </c>
      <c r="B28" s="9">
        <f>15</f>
        <v>15</v>
      </c>
      <c r="C28" s="5" t="s">
        <v>64</v>
      </c>
      <c r="J28" s="14"/>
      <c r="K28" s="17">
        <f>K24+5/8*O51+P51/2+L24</f>
        <v>57.353041186841189</v>
      </c>
      <c r="L28" s="14"/>
      <c r="M28" s="14"/>
      <c r="N28" s="14"/>
    </row>
    <row r="29" spans="1:20" s="3" customFormat="1" ht="13.2">
      <c r="A29" s="5" t="s">
        <v>61</v>
      </c>
      <c r="B29" s="9">
        <f>B28*B8</f>
        <v>270</v>
      </c>
      <c r="C29" s="5" t="s">
        <v>65</v>
      </c>
    </row>
    <row r="30" spans="1:20" s="3" customFormat="1" ht="13.2">
      <c r="A30" s="5" t="s">
        <v>57</v>
      </c>
      <c r="B30" s="9">
        <f>B7-B29</f>
        <v>90</v>
      </c>
      <c r="C30" s="5" t="s">
        <v>79</v>
      </c>
      <c r="J30" s="22" t="s">
        <v>1</v>
      </c>
      <c r="K30" s="23"/>
      <c r="L30" s="13" t="s">
        <v>68</v>
      </c>
      <c r="M30" s="13" t="s">
        <v>3</v>
      </c>
      <c r="N30" s="13" t="s">
        <v>4</v>
      </c>
      <c r="O30" s="13" t="s">
        <v>5</v>
      </c>
      <c r="P30" s="13" t="s">
        <v>14</v>
      </c>
      <c r="Q30" s="13" t="s">
        <v>82</v>
      </c>
      <c r="R30" s="13" t="s">
        <v>83</v>
      </c>
      <c r="S30" s="13" t="s">
        <v>18</v>
      </c>
    </row>
    <row r="31" spans="1:20" s="3" customFormat="1" ht="13.2">
      <c r="A31" s="5" t="s">
        <v>59</v>
      </c>
      <c r="B31" s="9">
        <f>B30/B8</f>
        <v>5</v>
      </c>
      <c r="C31" s="5" t="s">
        <v>81</v>
      </c>
      <c r="J31" s="13">
        <v>0</v>
      </c>
      <c r="K31" s="13">
        <v>1</v>
      </c>
      <c r="L31" s="13">
        <f>$B$8</f>
        <v>18</v>
      </c>
      <c r="M31" s="31">
        <f>B16</f>
        <v>1.54E-2</v>
      </c>
      <c r="N31" s="38">
        <f>$G$34</f>
        <v>0.108</v>
      </c>
      <c r="O31" s="16">
        <f>10.641*(M31/$B$6)^1.852*L31/(N31^4.87)</f>
        <v>0.60551647831975364</v>
      </c>
      <c r="P31" s="16">
        <f t="shared" ref="P31:P50" si="0">$B$11*L31</f>
        <v>0.1</v>
      </c>
      <c r="Q31" s="16">
        <f>$K$28</f>
        <v>57.353041186841189</v>
      </c>
      <c r="R31" s="17">
        <f t="shared" ref="R31:R50" si="1">Q31-$L$24-O31-P31</f>
        <v>55.147524708521431</v>
      </c>
      <c r="S31" s="20">
        <f>L31/360</f>
        <v>0.05</v>
      </c>
    </row>
    <row r="32" spans="1:20" s="19" customFormat="1" ht="13.2">
      <c r="J32" s="13">
        <f t="shared" ref="J32:J42" si="2">K31</f>
        <v>1</v>
      </c>
      <c r="K32" s="13">
        <f t="shared" ref="K32:K50" si="3">J32+1</f>
        <v>2</v>
      </c>
      <c r="L32" s="13">
        <f t="shared" ref="L32:L50" si="4">$B$8</f>
        <v>18</v>
      </c>
      <c r="M32" s="31">
        <f t="shared" ref="M32:M50" si="5">M31-$B$5</f>
        <v>1.4630000000000001E-2</v>
      </c>
      <c r="N32" s="38">
        <f>$G$34</f>
        <v>0.108</v>
      </c>
      <c r="O32" s="16">
        <f t="shared" ref="O32:O50" si="6">10.641*(M32/$B$6)^1.852*L32/(N32^4.87)</f>
        <v>0.55064295018719467</v>
      </c>
      <c r="P32" s="16">
        <f t="shared" si="0"/>
        <v>0.1</v>
      </c>
      <c r="Q32" s="16">
        <f t="shared" ref="Q32:Q50" si="7">Q31-O31-P31</f>
        <v>56.647524708521431</v>
      </c>
      <c r="R32" s="17">
        <f t="shared" si="1"/>
        <v>54.496881758334233</v>
      </c>
      <c r="S32" s="20">
        <f t="shared" ref="S32:S50" si="8">L32/360+S31</f>
        <v>0.1</v>
      </c>
      <c r="T32" s="3"/>
    </row>
    <row r="33" spans="1:20" s="14" customFormat="1" ht="13.2">
      <c r="J33" s="13">
        <f t="shared" si="2"/>
        <v>2</v>
      </c>
      <c r="K33" s="13">
        <f t="shared" si="3"/>
        <v>3</v>
      </c>
      <c r="L33" s="13">
        <f t="shared" si="4"/>
        <v>18</v>
      </c>
      <c r="M33" s="31">
        <f t="shared" si="5"/>
        <v>1.3860000000000001E-2</v>
      </c>
      <c r="N33" s="38">
        <f>$G$34</f>
        <v>0.108</v>
      </c>
      <c r="O33" s="16">
        <f t="shared" si="6"/>
        <v>0.49817633566217645</v>
      </c>
      <c r="P33" s="16">
        <f t="shared" si="0"/>
        <v>0.1</v>
      </c>
      <c r="Q33" s="16">
        <f t="shared" si="7"/>
        <v>55.996881758334233</v>
      </c>
      <c r="R33" s="17">
        <f t="shared" si="1"/>
        <v>53.898705422672052</v>
      </c>
      <c r="S33" s="20">
        <f t="shared" si="8"/>
        <v>0.15000000000000002</v>
      </c>
      <c r="T33" s="3"/>
    </row>
    <row r="34" spans="1:20" s="14" customFormat="1" ht="13.2">
      <c r="A34" s="51" t="s">
        <v>80</v>
      </c>
      <c r="B34" s="5" t="str">
        <f>C31</f>
        <v>N1 Ajustado</v>
      </c>
      <c r="C34" s="16">
        <f>B31</f>
        <v>5</v>
      </c>
      <c r="D34" s="13" t="str">
        <f>C30</f>
        <v>L1 Ajustado</v>
      </c>
      <c r="E34" s="16">
        <f>B30</f>
        <v>90</v>
      </c>
      <c r="F34" s="13" t="s">
        <v>9</v>
      </c>
      <c r="G34" s="16">
        <f>B23</f>
        <v>0.108</v>
      </c>
      <c r="J34" s="13">
        <f t="shared" si="2"/>
        <v>3</v>
      </c>
      <c r="K34" s="13">
        <f t="shared" si="3"/>
        <v>4</v>
      </c>
      <c r="L34" s="13">
        <f t="shared" si="4"/>
        <v>18</v>
      </c>
      <c r="M34" s="31">
        <f t="shared" si="5"/>
        <v>1.3090000000000001E-2</v>
      </c>
      <c r="N34" s="38">
        <f>$G$34</f>
        <v>0.108</v>
      </c>
      <c r="O34" s="16">
        <f t="shared" si="6"/>
        <v>0.44813598288963119</v>
      </c>
      <c r="P34" s="16">
        <f t="shared" si="0"/>
        <v>0.1</v>
      </c>
      <c r="Q34" s="16">
        <f t="shared" si="7"/>
        <v>55.398705422672052</v>
      </c>
      <c r="R34" s="17">
        <f t="shared" si="1"/>
        <v>53.350569439782419</v>
      </c>
      <c r="S34" s="20">
        <f t="shared" si="8"/>
        <v>0.2</v>
      </c>
    </row>
    <row r="35" spans="1:20" s="14" customFormat="1" ht="13.2">
      <c r="A35" s="52"/>
      <c r="B35" s="5" t="str">
        <f>C28</f>
        <v>N2 Ajustado</v>
      </c>
      <c r="C35" s="16">
        <f>B28</f>
        <v>15</v>
      </c>
      <c r="D35" s="13" t="str">
        <f>C29</f>
        <v>L2 Ajustado</v>
      </c>
      <c r="E35" s="16">
        <f>B29</f>
        <v>270</v>
      </c>
      <c r="F35" s="13" t="s">
        <v>10</v>
      </c>
      <c r="G35" s="16">
        <f>B24</f>
        <v>8.8999999999999996E-2</v>
      </c>
      <c r="J35" s="13">
        <f t="shared" si="2"/>
        <v>4</v>
      </c>
      <c r="K35" s="13">
        <f t="shared" si="3"/>
        <v>5</v>
      </c>
      <c r="L35" s="13">
        <f t="shared" si="4"/>
        <v>18</v>
      </c>
      <c r="M35" s="31">
        <f t="shared" si="5"/>
        <v>1.2320000000000001E-2</v>
      </c>
      <c r="N35" s="38">
        <f>$G$34</f>
        <v>0.108</v>
      </c>
      <c r="O35" s="16">
        <f t="shared" si="6"/>
        <v>0.40054251672591912</v>
      </c>
      <c r="P35" s="16">
        <f t="shared" si="0"/>
        <v>0.1</v>
      </c>
      <c r="Q35" s="16">
        <f t="shared" si="7"/>
        <v>54.850569439782419</v>
      </c>
      <c r="R35" s="17">
        <f t="shared" si="1"/>
        <v>52.850026923056497</v>
      </c>
      <c r="S35" s="20">
        <f t="shared" si="8"/>
        <v>0.25</v>
      </c>
    </row>
    <row r="36" spans="1:20" s="14" customFormat="1" ht="13.2">
      <c r="A36" s="53"/>
      <c r="B36" s="5" t="s">
        <v>8</v>
      </c>
      <c r="C36" s="13">
        <f>C34+C35</f>
        <v>20</v>
      </c>
      <c r="D36" s="13" t="s">
        <v>2</v>
      </c>
      <c r="E36" s="13">
        <f>E34+E35</f>
        <v>360</v>
      </c>
      <c r="J36" s="13">
        <f t="shared" si="2"/>
        <v>5</v>
      </c>
      <c r="K36" s="13">
        <f t="shared" si="3"/>
        <v>6</v>
      </c>
      <c r="L36" s="13">
        <f t="shared" si="4"/>
        <v>18</v>
      </c>
      <c r="M36" s="31">
        <f t="shared" si="5"/>
        <v>1.1550000000000001E-2</v>
      </c>
      <c r="N36" s="28">
        <f>$G$35</f>
        <v>8.8999999999999996E-2</v>
      </c>
      <c r="O36" s="16">
        <f t="shared" si="6"/>
        <v>0.91197678466803944</v>
      </c>
      <c r="P36" s="16">
        <f t="shared" si="0"/>
        <v>0.1</v>
      </c>
      <c r="Q36" s="16">
        <f t="shared" si="7"/>
        <v>54.350026923056497</v>
      </c>
      <c r="R36" s="17">
        <f t="shared" si="1"/>
        <v>51.838050138388454</v>
      </c>
      <c r="S36" s="20">
        <f t="shared" si="8"/>
        <v>0.3</v>
      </c>
    </row>
    <row r="37" spans="1:20" s="14" customFormat="1" ht="13.2">
      <c r="J37" s="13">
        <f t="shared" si="2"/>
        <v>6</v>
      </c>
      <c r="K37" s="13">
        <f t="shared" si="3"/>
        <v>7</v>
      </c>
      <c r="L37" s="13">
        <f t="shared" si="4"/>
        <v>18</v>
      </c>
      <c r="M37" s="31">
        <f t="shared" si="5"/>
        <v>1.0780000000000001E-2</v>
      </c>
      <c r="N37" s="28">
        <f t="shared" ref="N37:N50" si="9">$G$35</f>
        <v>8.8999999999999996E-2</v>
      </c>
      <c r="O37" s="16">
        <f t="shared" si="6"/>
        <v>0.80258657944901579</v>
      </c>
      <c r="P37" s="16">
        <f t="shared" si="0"/>
        <v>0.1</v>
      </c>
      <c r="Q37" s="16">
        <f t="shared" si="7"/>
        <v>53.338050138388454</v>
      </c>
      <c r="R37" s="17">
        <f t="shared" si="1"/>
        <v>50.935463558939439</v>
      </c>
      <c r="S37" s="20">
        <f t="shared" si="8"/>
        <v>0.35</v>
      </c>
    </row>
    <row r="38" spans="1:20" s="14" customFormat="1" ht="12" customHeight="1">
      <c r="A38" s="54" t="s">
        <v>21</v>
      </c>
      <c r="B38" s="54"/>
      <c r="J38" s="13">
        <f t="shared" si="2"/>
        <v>7</v>
      </c>
      <c r="K38" s="13">
        <f t="shared" si="3"/>
        <v>8</v>
      </c>
      <c r="L38" s="13">
        <f t="shared" si="4"/>
        <v>18</v>
      </c>
      <c r="M38" s="31">
        <f t="shared" si="5"/>
        <v>1.0010000000000002E-2</v>
      </c>
      <c r="N38" s="28">
        <f t="shared" si="9"/>
        <v>8.8999999999999996E-2</v>
      </c>
      <c r="O38" s="16">
        <f t="shared" si="6"/>
        <v>0.69965808934285911</v>
      </c>
      <c r="P38" s="16">
        <f t="shared" si="0"/>
        <v>0.1</v>
      </c>
      <c r="Q38" s="16">
        <f t="shared" si="7"/>
        <v>52.435463558939439</v>
      </c>
      <c r="R38" s="29">
        <f t="shared" si="1"/>
        <v>50.135805469596576</v>
      </c>
      <c r="S38" s="20">
        <f t="shared" si="8"/>
        <v>0.39999999999999997</v>
      </c>
    </row>
    <row r="39" spans="1:20" s="14" customFormat="1" ht="17.25" customHeight="1">
      <c r="A39" s="55"/>
      <c r="B39" s="55"/>
      <c r="J39" s="13">
        <f t="shared" si="2"/>
        <v>8</v>
      </c>
      <c r="K39" s="13">
        <f t="shared" si="3"/>
        <v>9</v>
      </c>
      <c r="L39" s="13">
        <f t="shared" si="4"/>
        <v>18</v>
      </c>
      <c r="M39" s="31">
        <f t="shared" si="5"/>
        <v>9.2400000000000017E-3</v>
      </c>
      <c r="N39" s="28">
        <f t="shared" si="9"/>
        <v>8.8999999999999996E-2</v>
      </c>
      <c r="O39" s="16">
        <f t="shared" si="6"/>
        <v>0.60326265197634121</v>
      </c>
      <c r="P39" s="16">
        <f t="shared" si="0"/>
        <v>0.1</v>
      </c>
      <c r="Q39" s="16">
        <f t="shared" si="7"/>
        <v>51.635805469596576</v>
      </c>
      <c r="R39" s="17">
        <f t="shared" si="1"/>
        <v>49.432542817620231</v>
      </c>
      <c r="S39" s="20">
        <f t="shared" si="8"/>
        <v>0.44999999999999996</v>
      </c>
    </row>
    <row r="40" spans="1:20" s="14" customFormat="1" ht="13.2">
      <c r="A40" s="39" t="s">
        <v>1</v>
      </c>
      <c r="B40" s="40"/>
      <c r="C40" s="13" t="s">
        <v>68</v>
      </c>
      <c r="D40" s="13" t="s">
        <v>66</v>
      </c>
      <c r="E40" s="13" t="s">
        <v>4</v>
      </c>
      <c r="F40" s="13" t="s">
        <v>67</v>
      </c>
      <c r="J40" s="13">
        <f t="shared" si="2"/>
        <v>9</v>
      </c>
      <c r="K40" s="13">
        <f t="shared" si="3"/>
        <v>10</v>
      </c>
      <c r="L40" s="13">
        <f t="shared" si="4"/>
        <v>18</v>
      </c>
      <c r="M40" s="31">
        <f t="shared" si="5"/>
        <v>8.4700000000000018E-3</v>
      </c>
      <c r="N40" s="28">
        <f t="shared" si="9"/>
        <v>8.8999999999999996E-2</v>
      </c>
      <c r="O40" s="16">
        <f t="shared" si="6"/>
        <v>0.51347821663932858</v>
      </c>
      <c r="P40" s="16">
        <f t="shared" si="0"/>
        <v>0.1</v>
      </c>
      <c r="Q40" s="16">
        <f t="shared" si="7"/>
        <v>50.932542817620231</v>
      </c>
      <c r="R40" s="17">
        <f t="shared" si="1"/>
        <v>48.819064600980902</v>
      </c>
      <c r="S40" s="20">
        <f t="shared" si="8"/>
        <v>0.49999999999999994</v>
      </c>
    </row>
    <row r="41" spans="1:20" s="14" customFormat="1" ht="13.2">
      <c r="A41" s="13">
        <v>0</v>
      </c>
      <c r="B41" s="13">
        <v>1</v>
      </c>
      <c r="C41" s="13">
        <f>$B$8</f>
        <v>18</v>
      </c>
      <c r="D41" s="31">
        <f>B16</f>
        <v>1.54E-2</v>
      </c>
      <c r="E41" s="16">
        <f>$G$34</f>
        <v>0.108</v>
      </c>
      <c r="F41" s="16">
        <f>10.641*(D41/$B$6)^1.852*C41/(E41^4.87)</f>
        <v>0.60551647831975364</v>
      </c>
      <c r="J41" s="13">
        <f t="shared" si="2"/>
        <v>10</v>
      </c>
      <c r="K41" s="13">
        <f t="shared" si="3"/>
        <v>11</v>
      </c>
      <c r="L41" s="13">
        <f t="shared" si="4"/>
        <v>18</v>
      </c>
      <c r="M41" s="31">
        <f t="shared" si="5"/>
        <v>7.700000000000002E-3</v>
      </c>
      <c r="N41" s="28">
        <f t="shared" si="9"/>
        <v>8.8999999999999996E-2</v>
      </c>
      <c r="O41" s="16">
        <f t="shared" si="6"/>
        <v>0.43039059383069095</v>
      </c>
      <c r="P41" s="16">
        <f t="shared" si="0"/>
        <v>0.1</v>
      </c>
      <c r="Q41" s="16">
        <f t="shared" si="7"/>
        <v>50.319064600980902</v>
      </c>
      <c r="R41" s="17">
        <f t="shared" si="1"/>
        <v>48.288674007150206</v>
      </c>
      <c r="S41" s="20">
        <f t="shared" si="8"/>
        <v>0.54999999999999993</v>
      </c>
    </row>
    <row r="42" spans="1:20" s="14" customFormat="1" ht="13.2">
      <c r="A42" s="13">
        <f>B41</f>
        <v>1</v>
      </c>
      <c r="B42" s="13">
        <f>A42+1</f>
        <v>2</v>
      </c>
      <c r="C42" s="13">
        <f t="shared" ref="C42:C60" si="10">$B$8</f>
        <v>18</v>
      </c>
      <c r="D42" s="31">
        <f>D41-$B$5</f>
        <v>1.4630000000000001E-2</v>
      </c>
      <c r="E42" s="16">
        <f>$G$34</f>
        <v>0.108</v>
      </c>
      <c r="F42" s="16">
        <f t="shared" ref="F42:F60" si="11">10.641*(D42/$B$6)^1.852*C42/(E42^4.87)</f>
        <v>0.55064295018719467</v>
      </c>
      <c r="J42" s="13">
        <f t="shared" si="2"/>
        <v>11</v>
      </c>
      <c r="K42" s="13">
        <f t="shared" si="3"/>
        <v>12</v>
      </c>
      <c r="L42" s="13">
        <f t="shared" si="4"/>
        <v>18</v>
      </c>
      <c r="M42" s="31">
        <f t="shared" si="5"/>
        <v>6.9300000000000021E-3</v>
      </c>
      <c r="N42" s="28">
        <f t="shared" si="9"/>
        <v>8.8999999999999996E-2</v>
      </c>
      <c r="O42" s="16">
        <f t="shared" si="6"/>
        <v>0.35409508512965449</v>
      </c>
      <c r="P42" s="16">
        <f t="shared" si="0"/>
        <v>0.1</v>
      </c>
      <c r="Q42" s="16">
        <f t="shared" si="7"/>
        <v>49.788674007150206</v>
      </c>
      <c r="R42" s="17">
        <f t="shared" si="1"/>
        <v>47.834578922020548</v>
      </c>
      <c r="S42" s="20">
        <f t="shared" si="8"/>
        <v>0.6</v>
      </c>
    </row>
    <row r="43" spans="1:20" s="14" customFormat="1" ht="13.2">
      <c r="A43" s="13">
        <f t="shared" ref="A43:A57" si="12">B42</f>
        <v>2</v>
      </c>
      <c r="B43" s="13">
        <f t="shared" ref="B43:B57" si="13">A43+1</f>
        <v>3</v>
      </c>
      <c r="C43" s="13">
        <f t="shared" si="10"/>
        <v>18</v>
      </c>
      <c r="D43" s="31">
        <f t="shared" ref="D43:D60" si="14">D42-$B$5</f>
        <v>1.3860000000000001E-2</v>
      </c>
      <c r="E43" s="16">
        <f>$G$34</f>
        <v>0.108</v>
      </c>
      <c r="F43" s="16">
        <f t="shared" si="11"/>
        <v>0.49817633566217645</v>
      </c>
      <c r="J43" s="13">
        <f t="shared" ref="J43:J50" si="15">K42</f>
        <v>12</v>
      </c>
      <c r="K43" s="13">
        <f t="shared" si="3"/>
        <v>13</v>
      </c>
      <c r="L43" s="13">
        <f t="shared" si="4"/>
        <v>18</v>
      </c>
      <c r="M43" s="31">
        <f t="shared" si="5"/>
        <v>6.1600000000000023E-3</v>
      </c>
      <c r="N43" s="28">
        <f t="shared" si="9"/>
        <v>8.8999999999999996E-2</v>
      </c>
      <c r="O43" s="16">
        <f t="shared" si="6"/>
        <v>0.28469866271265087</v>
      </c>
      <c r="P43" s="16">
        <f t="shared" si="0"/>
        <v>0.1</v>
      </c>
      <c r="Q43" s="16">
        <f t="shared" si="7"/>
        <v>49.334578922020548</v>
      </c>
      <c r="R43" s="17">
        <f t="shared" si="1"/>
        <v>47.449880259307896</v>
      </c>
      <c r="S43" s="20">
        <f t="shared" si="8"/>
        <v>0.65</v>
      </c>
    </row>
    <row r="44" spans="1:20" s="14" customFormat="1" ht="13.2">
      <c r="A44" s="13">
        <f t="shared" si="12"/>
        <v>3</v>
      </c>
      <c r="B44" s="13">
        <f t="shared" si="13"/>
        <v>4</v>
      </c>
      <c r="C44" s="13">
        <f t="shared" si="10"/>
        <v>18</v>
      </c>
      <c r="D44" s="31">
        <f t="shared" si="14"/>
        <v>1.3090000000000001E-2</v>
      </c>
      <c r="E44" s="16">
        <f>$G$34</f>
        <v>0.108</v>
      </c>
      <c r="F44" s="16">
        <f t="shared" si="11"/>
        <v>0.44813598288963119</v>
      </c>
      <c r="J44" s="13">
        <f t="shared" si="15"/>
        <v>13</v>
      </c>
      <c r="K44" s="13">
        <f t="shared" si="3"/>
        <v>14</v>
      </c>
      <c r="L44" s="13">
        <f t="shared" si="4"/>
        <v>18</v>
      </c>
      <c r="M44" s="31">
        <f t="shared" si="5"/>
        <v>5.3900000000000024E-3</v>
      </c>
      <c r="N44" s="28">
        <f t="shared" si="9"/>
        <v>8.8999999999999996E-2</v>
      </c>
      <c r="O44" s="16">
        <f t="shared" si="6"/>
        <v>0.22232297299794337</v>
      </c>
      <c r="P44" s="16">
        <f t="shared" si="0"/>
        <v>0.1</v>
      </c>
      <c r="Q44" s="16">
        <f t="shared" si="7"/>
        <v>48.949880259307896</v>
      </c>
      <c r="R44" s="17">
        <f t="shared" si="1"/>
        <v>47.127557286309951</v>
      </c>
      <c r="S44" s="20">
        <f t="shared" si="8"/>
        <v>0.70000000000000007</v>
      </c>
    </row>
    <row r="45" spans="1:20" s="14" customFormat="1" ht="13.2">
      <c r="A45" s="13">
        <f t="shared" si="12"/>
        <v>4</v>
      </c>
      <c r="B45" s="13">
        <f t="shared" si="13"/>
        <v>5</v>
      </c>
      <c r="C45" s="13">
        <f t="shared" si="10"/>
        <v>18</v>
      </c>
      <c r="D45" s="31">
        <f t="shared" si="14"/>
        <v>1.2320000000000001E-2</v>
      </c>
      <c r="E45" s="16">
        <f>$G$34</f>
        <v>0.108</v>
      </c>
      <c r="F45" s="16">
        <f t="shared" si="11"/>
        <v>0.40054251672591912</v>
      </c>
      <c r="J45" s="13">
        <f t="shared" si="15"/>
        <v>14</v>
      </c>
      <c r="K45" s="13">
        <f t="shared" si="3"/>
        <v>15</v>
      </c>
      <c r="L45" s="13">
        <f t="shared" si="4"/>
        <v>18</v>
      </c>
      <c r="M45" s="31">
        <f t="shared" si="5"/>
        <v>4.6200000000000026E-3</v>
      </c>
      <c r="N45" s="28">
        <f t="shared" si="9"/>
        <v>8.8999999999999996E-2</v>
      </c>
      <c r="O45" s="16">
        <f t="shared" si="6"/>
        <v>0.16710863316214189</v>
      </c>
      <c r="P45" s="16">
        <f t="shared" si="0"/>
        <v>0.1</v>
      </c>
      <c r="Q45" s="16">
        <f t="shared" si="7"/>
        <v>48.627557286309951</v>
      </c>
      <c r="R45" s="17">
        <f t="shared" si="1"/>
        <v>46.860448653147806</v>
      </c>
      <c r="S45" s="20">
        <f t="shared" si="8"/>
        <v>0.75000000000000011</v>
      </c>
    </row>
    <row r="46" spans="1:20" s="14" customFormat="1" ht="13.2">
      <c r="A46" s="13">
        <f t="shared" si="12"/>
        <v>5</v>
      </c>
      <c r="B46" s="13">
        <f t="shared" si="13"/>
        <v>6</v>
      </c>
      <c r="C46" s="13">
        <f t="shared" si="10"/>
        <v>18</v>
      </c>
      <c r="D46" s="31">
        <f t="shared" si="14"/>
        <v>1.1550000000000001E-2</v>
      </c>
      <c r="E46" s="28">
        <f>$G$35</f>
        <v>8.8999999999999996E-2</v>
      </c>
      <c r="F46" s="16">
        <f t="shared" si="11"/>
        <v>0.91197678466803944</v>
      </c>
      <c r="J46" s="13">
        <f t="shared" si="15"/>
        <v>15</v>
      </c>
      <c r="K46" s="13">
        <f t="shared" si="3"/>
        <v>16</v>
      </c>
      <c r="L46" s="13">
        <f t="shared" si="4"/>
        <v>18</v>
      </c>
      <c r="M46" s="31">
        <f t="shared" si="5"/>
        <v>3.8500000000000027E-3</v>
      </c>
      <c r="N46" s="28">
        <f t="shared" si="9"/>
        <v>8.8999999999999996E-2</v>
      </c>
      <c r="O46" s="16">
        <f t="shared" si="6"/>
        <v>0.11922167504530012</v>
      </c>
      <c r="P46" s="16">
        <f t="shared" si="0"/>
        <v>0.1</v>
      </c>
      <c r="Q46" s="16">
        <f t="shared" si="7"/>
        <v>48.360448653147806</v>
      </c>
      <c r="R46" s="17">
        <f t="shared" si="1"/>
        <v>46.641226978102502</v>
      </c>
      <c r="S46" s="20">
        <f t="shared" si="8"/>
        <v>0.80000000000000016</v>
      </c>
    </row>
    <row r="47" spans="1:20" s="14" customFormat="1" ht="13.2">
      <c r="A47" s="13">
        <f t="shared" si="12"/>
        <v>6</v>
      </c>
      <c r="B47" s="13">
        <f t="shared" si="13"/>
        <v>7</v>
      </c>
      <c r="C47" s="13">
        <f t="shared" si="10"/>
        <v>18</v>
      </c>
      <c r="D47" s="31">
        <f t="shared" si="14"/>
        <v>1.0780000000000001E-2</v>
      </c>
      <c r="E47" s="28">
        <f t="shared" ref="E47:E60" si="16">$G$35</f>
        <v>8.8999999999999996E-2</v>
      </c>
      <c r="F47" s="16">
        <f t="shared" si="11"/>
        <v>0.80258657944901579</v>
      </c>
      <c r="J47" s="13">
        <f t="shared" si="15"/>
        <v>16</v>
      </c>
      <c r="K47" s="13">
        <f t="shared" si="3"/>
        <v>17</v>
      </c>
      <c r="L47" s="13">
        <f t="shared" si="4"/>
        <v>18</v>
      </c>
      <c r="M47" s="31">
        <f t="shared" si="5"/>
        <v>3.0800000000000029E-3</v>
      </c>
      <c r="N47" s="28">
        <f t="shared" si="9"/>
        <v>8.8999999999999996E-2</v>
      </c>
      <c r="O47" s="16">
        <f t="shared" si="6"/>
        <v>7.8863831919876143E-2</v>
      </c>
      <c r="P47" s="16">
        <f t="shared" si="0"/>
        <v>0.1</v>
      </c>
      <c r="Q47" s="16">
        <f t="shared" si="7"/>
        <v>48.141226978102502</v>
      </c>
      <c r="R47" s="17">
        <f t="shared" si="1"/>
        <v>46.462363146182625</v>
      </c>
      <c r="S47" s="20">
        <f t="shared" si="8"/>
        <v>0.8500000000000002</v>
      </c>
    </row>
    <row r="48" spans="1:20" s="14" customFormat="1" ht="13.2">
      <c r="A48" s="13">
        <f t="shared" si="12"/>
        <v>7</v>
      </c>
      <c r="B48" s="13">
        <f t="shared" si="13"/>
        <v>8</v>
      </c>
      <c r="C48" s="13">
        <f t="shared" si="10"/>
        <v>18</v>
      </c>
      <c r="D48" s="31">
        <f t="shared" si="14"/>
        <v>1.0010000000000002E-2</v>
      </c>
      <c r="E48" s="28">
        <f t="shared" si="16"/>
        <v>8.8999999999999996E-2</v>
      </c>
      <c r="F48" s="16">
        <f t="shared" si="11"/>
        <v>0.69965808934285911</v>
      </c>
      <c r="J48" s="13">
        <f t="shared" si="15"/>
        <v>17</v>
      </c>
      <c r="K48" s="13">
        <f t="shared" si="3"/>
        <v>18</v>
      </c>
      <c r="L48" s="13">
        <f t="shared" si="4"/>
        <v>18</v>
      </c>
      <c r="M48" s="31">
        <f t="shared" si="5"/>
        <v>2.310000000000003E-3</v>
      </c>
      <c r="N48" s="28">
        <f t="shared" si="9"/>
        <v>8.8999999999999996E-2</v>
      </c>
      <c r="O48" s="16">
        <f t="shared" si="6"/>
        <v>4.6290442787786705E-2</v>
      </c>
      <c r="P48" s="16">
        <f t="shared" si="0"/>
        <v>0.1</v>
      </c>
      <c r="Q48" s="16">
        <f t="shared" si="7"/>
        <v>47.962363146182625</v>
      </c>
      <c r="R48" s="17">
        <f t="shared" si="1"/>
        <v>46.316072703394838</v>
      </c>
      <c r="S48" s="20">
        <f t="shared" si="8"/>
        <v>0.90000000000000024</v>
      </c>
    </row>
    <row r="49" spans="1:19" s="14" customFormat="1" ht="13.2">
      <c r="A49" s="13">
        <f t="shared" si="12"/>
        <v>8</v>
      </c>
      <c r="B49" s="13">
        <f t="shared" si="13"/>
        <v>9</v>
      </c>
      <c r="C49" s="13">
        <f t="shared" si="10"/>
        <v>18</v>
      </c>
      <c r="D49" s="31">
        <f t="shared" si="14"/>
        <v>9.2400000000000017E-3</v>
      </c>
      <c r="E49" s="28">
        <f t="shared" si="16"/>
        <v>8.8999999999999996E-2</v>
      </c>
      <c r="F49" s="16">
        <f t="shared" si="11"/>
        <v>0.60326265197634121</v>
      </c>
      <c r="J49" s="13">
        <f t="shared" si="15"/>
        <v>18</v>
      </c>
      <c r="K49" s="13">
        <f t="shared" si="3"/>
        <v>19</v>
      </c>
      <c r="L49" s="13">
        <f t="shared" si="4"/>
        <v>18</v>
      </c>
      <c r="M49" s="31">
        <f t="shared" si="5"/>
        <v>1.540000000000003E-3</v>
      </c>
      <c r="N49" s="28">
        <f t="shared" si="9"/>
        <v>8.8999999999999996E-2</v>
      </c>
      <c r="O49" s="16">
        <f t="shared" si="6"/>
        <v>2.1845919210951328E-2</v>
      </c>
      <c r="P49" s="16">
        <f t="shared" si="0"/>
        <v>0.1</v>
      </c>
      <c r="Q49" s="16">
        <f t="shared" si="7"/>
        <v>47.816072703394838</v>
      </c>
      <c r="R49" s="17">
        <f t="shared" si="1"/>
        <v>46.194226784183883</v>
      </c>
      <c r="S49" s="20">
        <f t="shared" si="8"/>
        <v>0.95000000000000029</v>
      </c>
    </row>
    <row r="50" spans="1:19" s="14" customFormat="1" ht="13.2">
      <c r="A50" s="13">
        <f t="shared" si="12"/>
        <v>9</v>
      </c>
      <c r="B50" s="13">
        <f t="shared" si="13"/>
        <v>10</v>
      </c>
      <c r="C50" s="13">
        <f t="shared" si="10"/>
        <v>18</v>
      </c>
      <c r="D50" s="31">
        <f t="shared" si="14"/>
        <v>8.4700000000000018E-3</v>
      </c>
      <c r="E50" s="28">
        <f t="shared" si="16"/>
        <v>8.8999999999999996E-2</v>
      </c>
      <c r="F50" s="16">
        <f t="shared" si="11"/>
        <v>0.51347821663932858</v>
      </c>
      <c r="J50" s="13">
        <f t="shared" si="15"/>
        <v>19</v>
      </c>
      <c r="K50" s="13">
        <f t="shared" si="3"/>
        <v>20</v>
      </c>
      <c r="L50" s="13">
        <f t="shared" si="4"/>
        <v>18</v>
      </c>
      <c r="M50" s="31">
        <f t="shared" si="5"/>
        <v>7.7000000000000289E-4</v>
      </c>
      <c r="N50" s="28">
        <f t="shared" si="9"/>
        <v>8.8999999999999996E-2</v>
      </c>
      <c r="O50" s="16">
        <f t="shared" si="6"/>
        <v>6.0514962886444763E-3</v>
      </c>
      <c r="P50" s="16">
        <f t="shared" si="0"/>
        <v>0.1</v>
      </c>
      <c r="Q50" s="16">
        <f t="shared" si="7"/>
        <v>47.694226784183883</v>
      </c>
      <c r="R50" s="17">
        <f t="shared" si="1"/>
        <v>46.08817528789524</v>
      </c>
      <c r="S50" s="20">
        <f t="shared" si="8"/>
        <v>1.0000000000000002</v>
      </c>
    </row>
    <row r="51" spans="1:19" s="14" customFormat="1" ht="13.2">
      <c r="A51" s="13">
        <f t="shared" si="12"/>
        <v>10</v>
      </c>
      <c r="B51" s="13">
        <f t="shared" si="13"/>
        <v>11</v>
      </c>
      <c r="C51" s="13">
        <f t="shared" si="10"/>
        <v>18</v>
      </c>
      <c r="D51" s="31">
        <f t="shared" si="14"/>
        <v>7.700000000000002E-3</v>
      </c>
      <c r="E51" s="28">
        <f t="shared" si="16"/>
        <v>8.8999999999999996E-2</v>
      </c>
      <c r="F51" s="16">
        <f t="shared" si="11"/>
        <v>0.43039059383069095</v>
      </c>
      <c r="L51" s="13">
        <f>SUM(L31:L50)</f>
        <v>360</v>
      </c>
      <c r="O51" s="25">
        <f>SUM(O31:O50)</f>
        <v>7.7648658989459003</v>
      </c>
      <c r="P51" s="16">
        <f>SUM(P31:P50)</f>
        <v>2.0000000000000004</v>
      </c>
      <c r="Q51" s="16"/>
    </row>
    <row r="52" spans="1:19" s="14" customFormat="1" ht="13.2">
      <c r="A52" s="13">
        <f t="shared" si="12"/>
        <v>11</v>
      </c>
      <c r="B52" s="13">
        <f t="shared" si="13"/>
        <v>12</v>
      </c>
      <c r="C52" s="13">
        <f t="shared" si="10"/>
        <v>18</v>
      </c>
      <c r="D52" s="31">
        <f t="shared" si="14"/>
        <v>6.9300000000000021E-3</v>
      </c>
      <c r="E52" s="28">
        <f t="shared" si="16"/>
        <v>8.8999999999999996E-2</v>
      </c>
      <c r="F52" s="16">
        <f t="shared" si="11"/>
        <v>0.35409508512965449</v>
      </c>
    </row>
    <row r="53" spans="1:19" s="14" customFormat="1" ht="13.2">
      <c r="A53" s="13">
        <f>B52</f>
        <v>12</v>
      </c>
      <c r="B53" s="13">
        <f>A53+1</f>
        <v>13</v>
      </c>
      <c r="C53" s="13">
        <f t="shared" si="10"/>
        <v>18</v>
      </c>
      <c r="D53" s="31">
        <f t="shared" si="14"/>
        <v>6.1600000000000023E-3</v>
      </c>
      <c r="E53" s="28">
        <f t="shared" si="16"/>
        <v>8.8999999999999996E-2</v>
      </c>
      <c r="F53" s="16">
        <f t="shared" si="11"/>
        <v>0.28469866271265087</v>
      </c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s="14" customFormat="1" ht="13.2">
      <c r="A54" s="13">
        <f t="shared" si="12"/>
        <v>13</v>
      </c>
      <c r="B54" s="13">
        <f t="shared" si="13"/>
        <v>14</v>
      </c>
      <c r="C54" s="13">
        <f t="shared" si="10"/>
        <v>18</v>
      </c>
      <c r="D54" s="31">
        <f t="shared" si="14"/>
        <v>5.3900000000000024E-3</v>
      </c>
      <c r="E54" s="28">
        <f t="shared" si="16"/>
        <v>8.8999999999999996E-2</v>
      </c>
      <c r="F54" s="16">
        <f t="shared" si="11"/>
        <v>0.22232297299794337</v>
      </c>
      <c r="J54" s="19"/>
      <c r="K54" s="19"/>
      <c r="L54" s="19"/>
      <c r="M54" s="19"/>
      <c r="N54" s="19"/>
      <c r="O54" s="19"/>
      <c r="P54" s="19"/>
      <c r="Q54" s="14" t="s">
        <v>102</v>
      </c>
      <c r="R54" s="19"/>
      <c r="S54" s="19"/>
    </row>
    <row r="55" spans="1:19" s="14" customFormat="1" ht="13.2">
      <c r="A55" s="13">
        <f t="shared" si="12"/>
        <v>14</v>
      </c>
      <c r="B55" s="13">
        <f t="shared" si="13"/>
        <v>15</v>
      </c>
      <c r="C55" s="13">
        <f t="shared" si="10"/>
        <v>18</v>
      </c>
      <c r="D55" s="31">
        <f t="shared" si="14"/>
        <v>4.6200000000000026E-3</v>
      </c>
      <c r="E55" s="28">
        <f t="shared" si="16"/>
        <v>8.8999999999999996E-2</v>
      </c>
      <c r="F55" s="16">
        <f t="shared" si="11"/>
        <v>0.16710863316214189</v>
      </c>
      <c r="Q55" s="14" t="s">
        <v>103</v>
      </c>
    </row>
    <row r="56" spans="1:19" s="14" customFormat="1" ht="13.2">
      <c r="A56" s="13">
        <f t="shared" si="12"/>
        <v>15</v>
      </c>
      <c r="B56" s="13">
        <f t="shared" si="13"/>
        <v>16</v>
      </c>
      <c r="C56" s="13">
        <f t="shared" si="10"/>
        <v>18</v>
      </c>
      <c r="D56" s="31">
        <f t="shared" si="14"/>
        <v>3.8500000000000027E-3</v>
      </c>
      <c r="E56" s="28">
        <f t="shared" si="16"/>
        <v>8.8999999999999996E-2</v>
      </c>
      <c r="F56" s="16">
        <f t="shared" si="11"/>
        <v>0.11922167504530012</v>
      </c>
      <c r="L56" s="15" t="s">
        <v>19</v>
      </c>
    </row>
    <row r="57" spans="1:19" s="14" customFormat="1" ht="13.2">
      <c r="A57" s="13">
        <f t="shared" si="12"/>
        <v>16</v>
      </c>
      <c r="B57" s="13">
        <f t="shared" si="13"/>
        <v>17</v>
      </c>
      <c r="C57" s="13">
        <f t="shared" si="10"/>
        <v>18</v>
      </c>
      <c r="D57" s="31">
        <f t="shared" si="14"/>
        <v>3.0800000000000029E-3</v>
      </c>
      <c r="E57" s="28">
        <f t="shared" si="16"/>
        <v>8.8999999999999996E-2</v>
      </c>
      <c r="F57" s="16">
        <f t="shared" si="11"/>
        <v>7.8863831919876143E-2</v>
      </c>
      <c r="L57" s="16">
        <f>SUM(O31:O38)</f>
        <v>4.9172357172445889</v>
      </c>
      <c r="M57" s="30" t="s">
        <v>20</v>
      </c>
      <c r="Q57" s="14" t="s">
        <v>100</v>
      </c>
    </row>
    <row r="58" spans="1:19" s="14" customFormat="1" ht="13.2">
      <c r="A58" s="13">
        <f>B57</f>
        <v>17</v>
      </c>
      <c r="B58" s="13">
        <f>A58+1</f>
        <v>18</v>
      </c>
      <c r="C58" s="13">
        <f t="shared" si="10"/>
        <v>18</v>
      </c>
      <c r="D58" s="31">
        <f t="shared" si="14"/>
        <v>2.310000000000003E-3</v>
      </c>
      <c r="E58" s="28">
        <f t="shared" si="16"/>
        <v>8.8999999999999996E-2</v>
      </c>
      <c r="F58" s="16">
        <f t="shared" si="11"/>
        <v>4.6290442787786705E-2</v>
      </c>
      <c r="Q58" s="14" t="s">
        <v>101</v>
      </c>
    </row>
    <row r="59" spans="1:19" s="14" customFormat="1" ht="13.2">
      <c r="A59" s="13">
        <f>B58</f>
        <v>18</v>
      </c>
      <c r="B59" s="13">
        <f>A59+1</f>
        <v>19</v>
      </c>
      <c r="C59" s="13">
        <f t="shared" si="10"/>
        <v>18</v>
      </c>
      <c r="D59" s="31">
        <f t="shared" si="14"/>
        <v>1.540000000000003E-3</v>
      </c>
      <c r="E59" s="28">
        <f t="shared" si="16"/>
        <v>8.8999999999999996E-2</v>
      </c>
      <c r="F59" s="16">
        <f t="shared" si="11"/>
        <v>2.1845919210951328E-2</v>
      </c>
    </row>
    <row r="60" spans="1:19" s="14" customFormat="1" ht="13.2">
      <c r="A60" s="13">
        <f>B59</f>
        <v>19</v>
      </c>
      <c r="B60" s="13">
        <f>A60+1</f>
        <v>20</v>
      </c>
      <c r="C60" s="13">
        <f t="shared" si="10"/>
        <v>18</v>
      </c>
      <c r="D60" s="31">
        <f t="shared" si="14"/>
        <v>7.7000000000000289E-4</v>
      </c>
      <c r="E60" s="28">
        <f t="shared" si="16"/>
        <v>8.8999999999999996E-2</v>
      </c>
      <c r="F60" s="16">
        <f t="shared" si="11"/>
        <v>6.0514962886444763E-3</v>
      </c>
      <c r="L60" s="15" t="s">
        <v>77</v>
      </c>
    </row>
    <row r="61" spans="1:19" s="14" customFormat="1" ht="13.2">
      <c r="C61" s="13">
        <f>SUM(C41:C60)</f>
        <v>360</v>
      </c>
      <c r="F61" s="24" t="s">
        <v>13</v>
      </c>
      <c r="L61" s="16">
        <f>5/8*O51</f>
        <v>4.853041186841188</v>
      </c>
    </row>
    <row r="62" spans="1:19" s="14" customFormat="1" ht="13.2">
      <c r="C62" s="18"/>
      <c r="F62" s="25">
        <f>SUM(F41:F60)</f>
        <v>7.7648658989459003</v>
      </c>
      <c r="G62" s="15" t="s">
        <v>78</v>
      </c>
    </row>
    <row r="63" spans="1:19" s="14" customFormat="1" ht="13.2"/>
    <row r="64" spans="1:19" s="14" customFormat="1" ht="13.2"/>
    <row r="65" s="14" customFormat="1" ht="13.2"/>
    <row r="66" s="14" customFormat="1" ht="13.2"/>
    <row r="67" s="14" customFormat="1" ht="13.2"/>
    <row r="68" s="14" customFormat="1" ht="13.2"/>
    <row r="69" s="14" customFormat="1" ht="13.2"/>
    <row r="70" s="14" customFormat="1" ht="13.2"/>
    <row r="71" s="14" customFormat="1" ht="13.2"/>
    <row r="72" s="14" customFormat="1" ht="13.2"/>
    <row r="73" s="14" customFormat="1" ht="13.2"/>
    <row r="74" s="14" customFormat="1" ht="13.2"/>
    <row r="75" s="14" customFormat="1" ht="13.2"/>
    <row r="76" s="14" customFormat="1" ht="13.2"/>
    <row r="77" s="14" customFormat="1" ht="13.2"/>
    <row r="78" s="14" customFormat="1" ht="13.2"/>
    <row r="79" s="14" customFormat="1" ht="13.2"/>
    <row r="80" s="14" customFormat="1" ht="13.2"/>
    <row r="81" spans="18:18" s="14" customFormat="1" ht="13.2"/>
    <row r="82" spans="18:18" s="14" customFormat="1" ht="13.2"/>
    <row r="83" spans="18:18" s="14" customFormat="1" ht="13.2"/>
    <row r="84" spans="18:18" s="14" customFormat="1" ht="13.2"/>
    <row r="85" spans="18:18" s="14" customFormat="1" ht="13.2"/>
    <row r="86" spans="18:18" s="19" customFormat="1" ht="13.2">
      <c r="R86" s="14"/>
    </row>
    <row r="87" spans="18:18" s="19" customFormat="1" ht="13.2">
      <c r="R87" s="14"/>
    </row>
    <row r="88" spans="18:18" s="19" customFormat="1" ht="13.2">
      <c r="R88" s="14"/>
    </row>
  </sheetData>
  <mergeCells count="7">
    <mergeCell ref="A40:B40"/>
    <mergeCell ref="A3:C3"/>
    <mergeCell ref="A14:C14"/>
    <mergeCell ref="A22:C22"/>
    <mergeCell ref="A12:C12"/>
    <mergeCell ref="A34:A36"/>
    <mergeCell ref="A38:B39"/>
  </mergeCells>
  <phoneticPr fontId="2" type="noConversion"/>
  <pageMargins left="0.26" right="0.33" top="0.26" bottom="0.23" header="0.17" footer="0.17"/>
  <pageSetup paperSize="9" scale="68" orientation="landscape" r:id="rId1"/>
  <rowBreaks count="1" manualBreakCount="1">
    <brk id="62" max="20" man="1"/>
  </rowBreaks>
  <colBreaks count="1" manualBreakCount="1">
    <brk id="9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</vt:lpstr>
      <vt:lpstr>Planilha</vt:lpstr>
      <vt:lpstr>Gráfico</vt:lpstr>
      <vt:lpstr>Exercício!Area_de_impressao</vt:lpstr>
      <vt:lpstr>Planilha!Area_de_impressao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1720117</cp:lastModifiedBy>
  <cp:lastPrinted>2017-01-31T11:58:07Z</cp:lastPrinted>
  <dcterms:created xsi:type="dcterms:W3CDTF">2014-09-22T08:30:42Z</dcterms:created>
  <dcterms:modified xsi:type="dcterms:W3CDTF">2017-02-01T02:17:42Z</dcterms:modified>
</cp:coreProperties>
</file>